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00" windowWidth="17350" windowHeight="7410"/>
  </bookViews>
  <sheets>
    <sheet name="Power Required" sheetId="3" r:id="rId1"/>
    <sheet name="Sheet2" sheetId="5" state="hidden" r:id="rId2"/>
  </sheets>
  <definedNames>
    <definedName name="FuelType">Sheet2!$C$5:$C$6</definedName>
    <definedName name="_xlnm.Print_Area" localSheetId="0">'Power Required'!$A$1:$Q$149</definedName>
  </definedNames>
  <calcPr calcId="125725" iterate="1" iterateCount="50"/>
</workbook>
</file>

<file path=xl/calcChain.xml><?xml version="1.0" encoding="utf-8"?>
<calcChain xmlns="http://schemas.openxmlformats.org/spreadsheetml/2006/main">
  <c r="K71" i="3"/>
  <c r="O71" s="1"/>
  <c r="K70"/>
  <c r="M70" s="1"/>
  <c r="K69"/>
  <c r="M69" s="1"/>
  <c r="K68"/>
  <c r="O68" s="1"/>
  <c r="K67"/>
  <c r="L67" s="1"/>
  <c r="K66"/>
  <c r="N66" s="1"/>
  <c r="K65"/>
  <c r="N65" s="1"/>
  <c r="K64"/>
  <c r="L64" s="1"/>
  <c r="K63"/>
  <c r="N63" s="1"/>
  <c r="K62"/>
  <c r="M62" s="1"/>
  <c r="K61"/>
  <c r="L61" s="1"/>
  <c r="K60"/>
  <c r="O60" s="1"/>
  <c r="K59"/>
  <c r="L59" s="1"/>
  <c r="K58"/>
  <c r="L58" s="1"/>
  <c r="K57"/>
  <c r="N57" s="1"/>
  <c r="K56"/>
  <c r="L56" s="1"/>
  <c r="K55"/>
  <c r="M55" s="1"/>
  <c r="L17"/>
  <c r="L21" s="1"/>
  <c r="N97"/>
  <c r="O97"/>
  <c r="M97"/>
  <c r="L97"/>
  <c r="J97"/>
  <c r="I97"/>
  <c r="H97"/>
  <c r="G97"/>
  <c r="G27"/>
  <c r="O27"/>
  <c r="N27"/>
  <c r="M27"/>
  <c r="L27"/>
  <c r="J27"/>
  <c r="I27"/>
  <c r="H27"/>
  <c r="B25"/>
  <c r="B21"/>
  <c r="G17"/>
  <c r="G21" s="1"/>
  <c r="M146"/>
  <c r="D71"/>
  <c r="E71" s="1"/>
  <c r="D70"/>
  <c r="F70" s="1"/>
  <c r="D69"/>
  <c r="E69" s="1"/>
  <c r="D68"/>
  <c r="E68" s="1"/>
  <c r="D67"/>
  <c r="E67" s="1"/>
  <c r="D66"/>
  <c r="E66" s="1"/>
  <c r="D61"/>
  <c r="E61" s="1"/>
  <c r="J16"/>
  <c r="O16"/>
  <c r="I16"/>
  <c r="H16"/>
  <c r="D55"/>
  <c r="E55" s="1"/>
  <c r="D56"/>
  <c r="E56" s="1"/>
  <c r="D57"/>
  <c r="E57" s="1"/>
  <c r="D58"/>
  <c r="E58" s="1"/>
  <c r="G16"/>
  <c r="G15"/>
  <c r="G20" s="1"/>
  <c r="L15"/>
  <c r="L18" s="1"/>
  <c r="N16"/>
  <c r="M16"/>
  <c r="D59"/>
  <c r="E59" s="1"/>
  <c r="L16"/>
  <c r="D60"/>
  <c r="E60" s="1"/>
  <c r="D62"/>
  <c r="E62" s="1"/>
  <c r="D63"/>
  <c r="E63" s="1"/>
  <c r="D64"/>
  <c r="E64" s="1"/>
  <c r="D65"/>
  <c r="E65" s="1"/>
  <c r="L71" l="1"/>
  <c r="N61"/>
  <c r="N58"/>
  <c r="L70"/>
  <c r="O66"/>
  <c r="M65"/>
  <c r="M71"/>
  <c r="O61"/>
  <c r="N71"/>
  <c r="M58"/>
  <c r="N56"/>
  <c r="M56"/>
  <c r="L62"/>
  <c r="O58"/>
  <c r="M63"/>
  <c r="L66"/>
  <c r="M61"/>
  <c r="O64"/>
  <c r="N68"/>
  <c r="N64"/>
  <c r="M68"/>
  <c r="L63"/>
  <c r="O56"/>
  <c r="M60"/>
  <c r="L60"/>
  <c r="L68"/>
  <c r="M64"/>
  <c r="L55"/>
  <c r="L69"/>
  <c r="O55"/>
  <c r="N55"/>
  <c r="O63"/>
  <c r="O69"/>
  <c r="L57"/>
  <c r="L65"/>
  <c r="M57"/>
  <c r="N60"/>
  <c r="N69"/>
  <c r="M66"/>
  <c r="O59"/>
  <c r="O67"/>
  <c r="N59"/>
  <c r="O62"/>
  <c r="O57"/>
  <c r="M59"/>
  <c r="N62"/>
  <c r="O65"/>
  <c r="M67"/>
  <c r="N70"/>
  <c r="N67"/>
  <c r="O70"/>
  <c r="J99"/>
  <c r="I99"/>
  <c r="H99"/>
  <c r="G99"/>
  <c r="M99"/>
  <c r="M100" s="1"/>
  <c r="F67"/>
  <c r="L99"/>
  <c r="L100" s="1"/>
  <c r="O99"/>
  <c r="O100" s="1"/>
  <c r="N99"/>
  <c r="N100" s="1"/>
  <c r="G18"/>
  <c r="G19" s="1"/>
  <c r="B106" s="1"/>
  <c r="L19"/>
  <c r="I106" s="1"/>
  <c r="K21"/>
  <c r="B13"/>
  <c r="G71"/>
  <c r="E70"/>
  <c r="G64"/>
  <c r="G69"/>
  <c r="F69"/>
  <c r="G55"/>
  <c r="H60"/>
  <c r="H56"/>
  <c r="F60"/>
  <c r="H70"/>
  <c r="F55"/>
  <c r="G70"/>
  <c r="H71"/>
  <c r="F71"/>
  <c r="H69"/>
  <c r="H61"/>
  <c r="H62"/>
  <c r="H63"/>
  <c r="G56"/>
  <c r="F57"/>
  <c r="G57"/>
  <c r="H68"/>
  <c r="G68"/>
  <c r="F68"/>
  <c r="H67"/>
  <c r="G67"/>
  <c r="H66"/>
  <c r="G66"/>
  <c r="F66"/>
  <c r="F65"/>
  <c r="G65"/>
  <c r="F58"/>
  <c r="F59"/>
  <c r="G59"/>
  <c r="G60"/>
  <c r="F62"/>
  <c r="H65"/>
  <c r="H57"/>
  <c r="G61"/>
  <c r="F61"/>
  <c r="H64"/>
  <c r="F63"/>
  <c r="H55"/>
  <c r="H58"/>
  <c r="G62"/>
  <c r="G58"/>
  <c r="F64"/>
  <c r="F56"/>
  <c r="H59"/>
  <c r="G63"/>
  <c r="O30"/>
  <c r="O33"/>
  <c r="O29"/>
  <c r="N33"/>
  <c r="N30"/>
  <c r="L33"/>
  <c r="L30"/>
  <c r="I33"/>
  <c r="I30"/>
  <c r="M33"/>
  <c r="H33"/>
  <c r="H30"/>
  <c r="M30"/>
  <c r="J33"/>
  <c r="J30"/>
  <c r="G33"/>
  <c r="G30"/>
  <c r="J29"/>
  <c r="I29"/>
  <c r="H29"/>
  <c r="G29"/>
  <c r="M29"/>
  <c r="N29"/>
  <c r="L20"/>
  <c r="P21" s="1"/>
  <c r="L29"/>
  <c r="G100" l="1"/>
  <c r="H100"/>
  <c r="I100"/>
  <c r="J100"/>
  <c r="O28"/>
  <c r="L28"/>
  <c r="M28"/>
  <c r="N28"/>
  <c r="B41"/>
  <c r="B32"/>
  <c r="H28"/>
  <c r="J28"/>
  <c r="I28"/>
  <c r="G28"/>
  <c r="I31"/>
  <c r="I32" s="1"/>
  <c r="I39"/>
  <c r="I36"/>
  <c r="M35"/>
  <c r="M38"/>
  <c r="N38"/>
  <c r="N35"/>
  <c r="J38"/>
  <c r="J35"/>
  <c r="I35"/>
  <c r="I38"/>
  <c r="H38"/>
  <c r="H35"/>
  <c r="M39"/>
  <c r="M36"/>
  <c r="M31"/>
  <c r="M32" s="1"/>
  <c r="N39"/>
  <c r="N36"/>
  <c r="N31"/>
  <c r="N32" s="1"/>
  <c r="O39"/>
  <c r="O36"/>
  <c r="O31"/>
  <c r="O32" s="1"/>
  <c r="L35"/>
  <c r="L38"/>
  <c r="O35"/>
  <c r="O38"/>
  <c r="H31"/>
  <c r="H32" s="1"/>
  <c r="H39"/>
  <c r="H36"/>
  <c r="G31"/>
  <c r="G32" s="1"/>
  <c r="G36"/>
  <c r="G39"/>
  <c r="G38"/>
  <c r="G35"/>
  <c r="J31"/>
  <c r="J32" s="1"/>
  <c r="J36"/>
  <c r="J39"/>
  <c r="L39"/>
  <c r="L36"/>
  <c r="L31"/>
  <c r="L32" s="1"/>
  <c r="F44" l="1"/>
  <c r="F45"/>
  <c r="N40"/>
  <c r="N41" s="1"/>
  <c r="J40"/>
  <c r="J41" s="1"/>
  <c r="I40"/>
  <c r="I41" s="1"/>
  <c r="G40"/>
  <c r="G41" s="1"/>
  <c r="M40"/>
  <c r="M41" s="1"/>
  <c r="O40"/>
  <c r="O41" s="1"/>
  <c r="H40"/>
  <c r="H41" s="1"/>
  <c r="L40"/>
  <c r="L41" s="1"/>
</calcChain>
</file>

<file path=xl/sharedStrings.xml><?xml version="1.0" encoding="utf-8"?>
<sst xmlns="http://schemas.openxmlformats.org/spreadsheetml/2006/main" count="115" uniqueCount="88">
  <si>
    <t>BHP</t>
  </si>
  <si>
    <t>MPH</t>
  </si>
  <si>
    <t>RPM</t>
  </si>
  <si>
    <t>SHP</t>
  </si>
  <si>
    <t>RATIO</t>
  </si>
  <si>
    <t>SRPM</t>
  </si>
  <si>
    <t>Kts</t>
  </si>
  <si>
    <t>C</t>
  </si>
  <si>
    <t>LB</t>
  </si>
  <si>
    <t>Average runabouts. Cruisers, passenger vessels</t>
  </si>
  <si>
    <t>High speed runabouts, very light high speed cruisers</t>
  </si>
  <si>
    <t>Race boat types</t>
  </si>
  <si>
    <t>Three-point hydroplanes, stepped hydroplanes</t>
  </si>
  <si>
    <t>Racing power catamarans and sea sleds</t>
  </si>
  <si>
    <t>http://www.kanecustomboats.com</t>
  </si>
  <si>
    <t xml:space="preserve">SHP available at propeller   </t>
  </si>
  <si>
    <t xml:space="preserve">Shaft Horsepower available at propeller   </t>
  </si>
  <si>
    <t xml:space="preserve">Required maximum speed (Knots)   </t>
  </si>
  <si>
    <t xml:space="preserve">Propeller Shaft RPM   </t>
  </si>
  <si>
    <t xml:space="preserve">Brake Horsepower   </t>
  </si>
  <si>
    <t xml:space="preserve">Max RPM   </t>
  </si>
  <si>
    <t xml:space="preserve">Gear Ratio   </t>
  </si>
  <si>
    <t xml:space="preserve">Displacement of vessel (Pounds)   </t>
  </si>
  <si>
    <t>Enter input values into Blue cells.  Computed values are displayed in yellow cells.</t>
  </si>
  <si>
    <t>Building the Glen-L Hot Rod :</t>
  </si>
  <si>
    <t xml:space="preserve">Approximate maximum speed attainable   </t>
  </si>
  <si>
    <t>Diesel</t>
  </si>
  <si>
    <t xml:space="preserve">1 Mile per Hour = 0.8689 Knots </t>
  </si>
  <si>
    <t>1 knots = 1.1507 MPH</t>
  </si>
  <si>
    <r>
      <t>SHP = ( Kts / C )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* LB </t>
    </r>
  </si>
  <si>
    <r>
      <t>Kts = C / ( LB / SHP )</t>
    </r>
    <r>
      <rPr>
        <b/>
        <vertAlign val="superscript"/>
        <sz val="10"/>
        <rFont val="Arial"/>
        <family val="2"/>
      </rPr>
      <t>0.5</t>
    </r>
  </si>
  <si>
    <r>
      <t>D = 632.7 * SHP</t>
    </r>
    <r>
      <rPr>
        <b/>
        <vertAlign val="superscript"/>
        <sz val="10"/>
        <rFont val="Arial"/>
        <family val="2"/>
      </rPr>
      <t>0.2</t>
    </r>
    <r>
      <rPr>
        <b/>
        <sz val="10"/>
        <rFont val="Arial"/>
        <family val="2"/>
      </rPr>
      <t xml:space="preserve"> / SRPM</t>
    </r>
    <r>
      <rPr>
        <b/>
        <vertAlign val="superscript"/>
        <sz val="10"/>
        <rFont val="Arial"/>
        <family val="2"/>
      </rPr>
      <t>0.6</t>
    </r>
  </si>
  <si>
    <t>PITCH</t>
  </si>
  <si>
    <t>DIAM</t>
  </si>
  <si>
    <t>RSHP</t>
  </si>
  <si>
    <t xml:space="preserve">Estimated prop slip at required top speed   </t>
  </si>
  <si>
    <t>SLIP %</t>
  </si>
  <si>
    <r>
      <t>P = ((Kts * 101.3) / (RPM / RATIO * .8) * 12) * (1+(1.4*Knts</t>
    </r>
    <r>
      <rPr>
        <b/>
        <vertAlign val="superscript"/>
        <sz val="10"/>
        <rFont val="Arial"/>
        <family val="2"/>
      </rPr>
      <t>0.57</t>
    </r>
    <r>
      <rPr>
        <b/>
        <sz val="10"/>
        <rFont val="Arial"/>
        <family val="2"/>
      </rPr>
      <t>))</t>
    </r>
  </si>
  <si>
    <t xml:space="preserve">Pitch Ratio (P/D)   </t>
  </si>
  <si>
    <t xml:space="preserve">Recommended propeller for maximum speed   </t>
  </si>
  <si>
    <t xml:space="preserve">Recommended 3 Blade Propeller (Inches)   </t>
  </si>
  <si>
    <t xml:space="preserve">Recommended 4 Blade Propeller (Inches)   </t>
  </si>
  <si>
    <t>Optimum Pitch Ratio Formula</t>
  </si>
  <si>
    <r>
      <t xml:space="preserve">Source : </t>
    </r>
    <r>
      <rPr>
        <b/>
        <i/>
        <sz val="10"/>
        <rFont val="Arial"/>
        <family val="2"/>
      </rPr>
      <t>Propeller Handbook</t>
    </r>
    <r>
      <rPr>
        <sz val="10"/>
        <rFont val="Arial"/>
        <family val="2"/>
      </rPr>
      <t xml:space="preserve"> by Dave Gerr, International Marine.  See </t>
    </r>
    <r>
      <rPr>
        <b/>
        <i/>
        <sz val="10"/>
        <rFont val="Arial"/>
        <family val="2"/>
      </rPr>
      <t>Checking Pitch Ratio and Minimum Diameter</t>
    </r>
    <r>
      <rPr>
        <sz val="10"/>
        <rFont val="Arial"/>
        <family val="2"/>
      </rPr>
      <t>, Page 57</t>
    </r>
  </si>
  <si>
    <r>
      <t xml:space="preserve">Generally, the best performance and efficiency will be obtained with pitch ratios close to the average pitch ratio curve (see </t>
    </r>
    <r>
      <rPr>
        <b/>
        <i/>
        <sz val="10"/>
        <rFont val="Arial"/>
        <family val="2"/>
      </rPr>
      <t>Average Pitch Ratio</t>
    </r>
    <r>
      <rPr>
        <sz val="10"/>
        <rFont val="Arial"/>
        <family val="2"/>
      </rPr>
      <t xml:space="preserve">).  Performance will be satisfactory, however, as long as the pitch ratio of the specified propeller does not fall above or below the recommended maximum or minimum curves. </t>
    </r>
    <r>
      <rPr>
        <i/>
        <sz val="10"/>
        <color rgb="FFFF0000"/>
        <rFont val="Arial"/>
        <family val="2"/>
      </rPr>
      <t xml:space="preserve"> If the pitch ratio does fall outside these curves, the shaft speed is unsuited to the boat and must be changed using either a different reduction gear and/or an engine of a different rated RPM</t>
    </r>
    <r>
      <rPr>
        <i/>
        <sz val="10"/>
        <rFont val="Arial"/>
        <family val="2"/>
      </rPr>
      <t xml:space="preserve">. </t>
    </r>
    <r>
      <rPr>
        <b/>
        <sz val="10"/>
        <rFont val="Arial"/>
        <family val="2"/>
      </rPr>
      <t xml:space="preserve">                                                                                                                                  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</si>
  <si>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MINPR</t>
  </si>
  <si>
    <t>MAXPR</t>
  </si>
  <si>
    <t>AVGPR</t>
  </si>
  <si>
    <t>Gas</t>
  </si>
  <si>
    <t xml:space="preserve">Fuel Type   </t>
  </si>
  <si>
    <t>Shaft HP VS Speed Calculator</t>
  </si>
  <si>
    <t>Two engines with up to four gear ratios may be entered.</t>
  </si>
  <si>
    <t>Effect of Hull Constant (C)</t>
  </si>
  <si>
    <t>Recommended Ratios and 3 Blade Propellers</t>
  </si>
  <si>
    <t>Shaft HP required for a given speed</t>
  </si>
  <si>
    <t>Pitch-Diameter Graphs</t>
  </si>
  <si>
    <t xml:space="preserve">Approximate maximum speed attainable  </t>
  </si>
  <si>
    <r>
      <t>Hull Constant.  (See Hull Constant table above</t>
    </r>
    <r>
      <rPr>
        <i/>
        <sz val="10"/>
        <rFont val="Arial"/>
        <family val="2"/>
      </rPr>
      <t xml:space="preserve">)  </t>
    </r>
  </si>
  <si>
    <t>Min</t>
  </si>
  <si>
    <t>Max</t>
  </si>
  <si>
    <t>Tugs and trawlers</t>
  </si>
  <si>
    <t>Heavy and average cruisers</t>
  </si>
  <si>
    <t>Medium and fast cruisers</t>
  </si>
  <si>
    <t>Fast cruisers and runabouts</t>
  </si>
  <si>
    <t>Pitch Ratio (P/D)</t>
  </si>
  <si>
    <t xml:space="preserve">(2)  </t>
  </si>
  <si>
    <t xml:space="preserve">(3)  </t>
  </si>
  <si>
    <t xml:space="preserve">(4)  </t>
  </si>
  <si>
    <t>Spreadsheet prepared by Paul Kane, Kane Custom Boats Ltd., Chelsea, Quebec</t>
  </si>
  <si>
    <t>Equations</t>
  </si>
  <si>
    <t>Kts = Desired Speed (Knots)   C = Hull Constant</t>
  </si>
  <si>
    <t>Crouch's Hull Constant</t>
  </si>
  <si>
    <t>(1)</t>
  </si>
  <si>
    <t xml:space="preserve">  </t>
  </si>
  <si>
    <t xml:space="preserve">(5)  </t>
  </si>
  <si>
    <t xml:space="preserve">(6)  </t>
  </si>
  <si>
    <t xml:space="preserve">(7)  </t>
  </si>
  <si>
    <t xml:space="preserve">(8)  </t>
  </si>
  <si>
    <r>
      <t xml:space="preserve">Hull Constant.  (See </t>
    </r>
    <r>
      <rPr>
        <i/>
        <sz val="10"/>
        <rFont val="Arial"/>
        <family val="2"/>
      </rPr>
      <t xml:space="preserve">Table (5) at bottom of page)         </t>
    </r>
  </si>
  <si>
    <t xml:space="preserve">(1.1)  </t>
  </si>
  <si>
    <t xml:space="preserve">(1.2)  </t>
  </si>
  <si>
    <t xml:space="preserve">(1.3)  </t>
  </si>
  <si>
    <t xml:space="preserve">(1.4)  </t>
  </si>
  <si>
    <t xml:space="preserve">(2.1)  </t>
  </si>
  <si>
    <t xml:space="preserve">(2.2)  </t>
  </si>
  <si>
    <r>
      <t xml:space="preserve">Shaft HP required                   for given speed                                      SHP = ( Kts / C ) 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* LB </t>
    </r>
  </si>
  <si>
    <r>
      <t xml:space="preserve">Shaft HP required                                                  for given speed                                       SHP = ( Kts / C ) 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* LB </t>
    </r>
  </si>
  <si>
    <t>Pitch Ratio                                               P / D</t>
  </si>
</sst>
</file>

<file path=xl/styles.xml><?xml version="1.0" encoding="utf-8"?>
<styleSheet xmlns="http://schemas.openxmlformats.org/spreadsheetml/2006/main">
  <numFmts count="4">
    <numFmt numFmtId="164" formatCode="dd\ mmm\ yyyy\ h:mm"/>
    <numFmt numFmtId="165" formatCode="0.0000"/>
    <numFmt numFmtId="166" formatCode="#.00"/>
    <numFmt numFmtId="167" formatCode="#.0#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8"/>
      <color indexed="12"/>
      <name val="Arial"/>
      <family val="2"/>
    </font>
    <font>
      <b/>
      <i/>
      <sz val="12"/>
      <name val="Arial"/>
      <family val="2"/>
    </font>
    <font>
      <i/>
      <sz val="10"/>
      <color rgb="FFFF000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b/>
      <i/>
      <sz val="1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9F1BF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170">
    <xf numFmtId="0" fontId="0" fillId="0" borderId="0" xfId="0"/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indent="1"/>
    </xf>
    <xf numFmtId="1" fontId="0" fillId="3" borderId="1" xfId="0" applyNumberFormat="1" applyFill="1" applyBorder="1" applyAlignment="1">
      <alignment horizontal="center"/>
    </xf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3" applyFont="1" applyAlignment="1" applyProtection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Border="1" applyAlignment="1"/>
    <xf numFmtId="0" fontId="0" fillId="0" borderId="0" xfId="0" applyBorder="1" applyAlignment="1"/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4" fontId="0" fillId="0" borderId="0" xfId="0" applyNumberFormat="1"/>
    <xf numFmtId="0" fontId="5" fillId="0" borderId="0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3" borderId="1" xfId="0" applyFill="1" applyBorder="1" applyAlignment="1">
      <alignment horizontal="center"/>
    </xf>
    <xf numFmtId="0" fontId="8" fillId="0" borderId="0" xfId="0" applyFont="1" applyBorder="1" applyAlignment="1"/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1" xfId="0" applyBorder="1"/>
    <xf numFmtId="0" fontId="0" fillId="0" borderId="3" xfId="0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center"/>
    </xf>
    <xf numFmtId="0" fontId="5" fillId="0" borderId="0" xfId="0" applyFont="1" applyAlignment="1">
      <alignment horizontal="right"/>
    </xf>
    <xf numFmtId="165" fontId="0" fillId="0" borderId="0" xfId="0" applyNumberFormat="1" applyFill="1" applyBorder="1" applyAlignment="1">
      <alignment horizontal="center"/>
    </xf>
    <xf numFmtId="1" fontId="5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0" fontId="8" fillId="0" borderId="0" xfId="0" applyFont="1" applyFill="1" applyBorder="1" applyAlignment="1"/>
    <xf numFmtId="0" fontId="0" fillId="0" borderId="0" xfId="0" applyBorder="1"/>
    <xf numFmtId="0" fontId="0" fillId="0" borderId="13" xfId="0" applyBorder="1"/>
    <xf numFmtId="2" fontId="0" fillId="0" borderId="11" xfId="0" applyNumberFormat="1" applyBorder="1" applyAlignment="1">
      <alignment horizontal="center"/>
    </xf>
    <xf numFmtId="0" fontId="5" fillId="0" borderId="0" xfId="0" applyFont="1" applyBorder="1" applyAlignment="1">
      <alignment vertical="top" wrapText="1"/>
    </xf>
    <xf numFmtId="0" fontId="17" fillId="0" borderId="0" xfId="0" applyFont="1" applyBorder="1" applyAlignment="1"/>
    <xf numFmtId="0" fontId="5" fillId="0" borderId="0" xfId="0" applyFont="1" applyAlignment="1">
      <alignment horizontal="right"/>
    </xf>
    <xf numFmtId="2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vertical="center" wrapText="1"/>
    </xf>
    <xf numFmtId="1" fontId="0" fillId="0" borderId="0" xfId="0" applyNumberFormat="1" applyBorder="1" applyAlignment="1">
      <alignment horizontal="center"/>
    </xf>
    <xf numFmtId="0" fontId="18" fillId="0" borderId="0" xfId="0" applyFont="1"/>
    <xf numFmtId="1" fontId="17" fillId="0" borderId="0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4" fillId="5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" fontId="6" fillId="0" borderId="0" xfId="0" applyNumberFormat="1" applyFont="1" applyFill="1" applyBorder="1" applyAlignment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right"/>
    </xf>
    <xf numFmtId="0" fontId="5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0" fontId="5" fillId="0" borderId="7" xfId="0" applyFont="1" applyBorder="1" applyAlignment="1">
      <alignment horizontal="left" inden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Alignment="1">
      <alignment horizontal="center"/>
    </xf>
    <xf numFmtId="2" fontId="0" fillId="5" borderId="1" xfId="0" applyNumberFormat="1" applyFill="1" applyBorder="1" applyAlignment="1" applyProtection="1">
      <alignment horizontal="center"/>
    </xf>
    <xf numFmtId="2" fontId="0" fillId="5" borderId="3" xfId="0" applyNumberFormat="1" applyFill="1" applyBorder="1" applyAlignment="1" applyProtection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0" fillId="0" borderId="0" xfId="0" applyFill="1"/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2" fontId="5" fillId="5" borderId="1" xfId="0" applyNumberFormat="1" applyFont="1" applyFill="1" applyBorder="1" applyAlignment="1" applyProtection="1">
      <alignment horizontal="center"/>
    </xf>
    <xf numFmtId="49" fontId="8" fillId="0" borderId="0" xfId="0" applyNumberFormat="1" applyFont="1" applyAlignment="1">
      <alignment horizontal="right"/>
    </xf>
    <xf numFmtId="0" fontId="4" fillId="5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49" fontId="0" fillId="0" borderId="0" xfId="0" applyNumberFormat="1"/>
    <xf numFmtId="0" fontId="0" fillId="6" borderId="1" xfId="0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</xf>
    <xf numFmtId="1" fontId="0" fillId="0" borderId="1" xfId="0" applyNumberFormat="1" applyFill="1" applyBorder="1" applyAlignment="1" applyProtection="1">
      <alignment horizontal="center"/>
    </xf>
    <xf numFmtId="0" fontId="5" fillId="0" borderId="0" xfId="0" applyFont="1" applyAlignment="1">
      <alignment horizontal="right"/>
    </xf>
    <xf numFmtId="0" fontId="5" fillId="0" borderId="7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9" fillId="0" borderId="0" xfId="3" applyAlignment="1" applyProtection="1">
      <alignment horizontal="left"/>
      <protection locked="0"/>
    </xf>
    <xf numFmtId="0" fontId="4" fillId="0" borderId="1" xfId="0" applyFont="1" applyBorder="1" applyAlignment="1">
      <alignment horizontal="right" vertic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 indent="1"/>
    </xf>
    <xf numFmtId="0" fontId="5" fillId="0" borderId="0" xfId="0" applyFont="1" applyBorder="1" applyAlignment="1">
      <alignment horizontal="left" vertical="top" wrapText="1" indent="1"/>
    </xf>
    <xf numFmtId="0" fontId="5" fillId="0" borderId="7" xfId="0" applyFont="1" applyBorder="1" applyAlignment="1">
      <alignment horizontal="left" vertical="top" wrapText="1" indent="1"/>
    </xf>
    <xf numFmtId="0" fontId="5" fillId="0" borderId="4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0" fillId="0" borderId="13" xfId="0" applyBorder="1" applyAlignment="1">
      <alignment horizontal="right"/>
    </xf>
    <xf numFmtId="0" fontId="6" fillId="0" borderId="0" xfId="0" applyFont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5" fillId="0" borderId="13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8" fillId="0" borderId="0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</cellXfs>
  <cellStyles count="6">
    <cellStyle name="Hyperlink" xfId="3" builtinId="8"/>
    <cellStyle name="Normal" xfId="0" builtinId="0"/>
    <cellStyle name="Normal 2" xfId="1"/>
    <cellStyle name="Normal 2 2" xfId="4"/>
    <cellStyle name="Normal 3" xfId="2"/>
    <cellStyle name="Normal 3 2" xfId="5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7E4BC"/>
      <color rgb="FFFFFF99"/>
      <color rgb="FFA9F1BF"/>
      <color rgb="FFFACBA4"/>
      <color rgb="FF88ECA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roundedCorners val="1"/>
  <c:chart>
    <c:title>
      <c:tx>
        <c:rich>
          <a:bodyPr/>
          <a:lstStyle/>
          <a:p>
            <a:pPr>
              <a:defRPr/>
            </a:pPr>
            <a:r>
              <a:rPr lang="en-US"/>
              <a:t>SHP VS MPH</a:t>
            </a:r>
          </a:p>
        </c:rich>
      </c:tx>
      <c:layout>
        <c:manualLayout>
          <c:xMode val="edge"/>
          <c:yMode val="edge"/>
          <c:x val="0.32319250320097664"/>
          <c:y val="1.1618617508021498E-2"/>
        </c:manualLayout>
      </c:layout>
    </c:title>
    <c:plotArea>
      <c:layout/>
      <c:scatterChart>
        <c:scatterStyle val="smoothMarker"/>
        <c:ser>
          <c:idx val="1"/>
          <c:order val="0"/>
          <c:tx>
            <c:v>SHP</c:v>
          </c:tx>
          <c:dLbls>
            <c:showVal val="1"/>
          </c:dLbls>
          <c:xVal>
            <c:numRef>
              <c:f>'Power Required'!$C$55:$C$71</c:f>
              <c:numCache>
                <c:formatCode>0</c:formatCode>
                <c:ptCount val="17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  <c:pt idx="16">
                  <c:v>90</c:v>
                </c:pt>
              </c:numCache>
            </c:numRef>
          </c:xVal>
          <c:yVal>
            <c:numRef>
              <c:f>'Power Required'!$E$55:$E$71</c:f>
              <c:numCache>
                <c:formatCode>0</c:formatCode>
                <c:ptCount val="17"/>
                <c:pt idx="0">
                  <c:v>10.739480305603893</c:v>
                </c:pt>
                <c:pt idx="1">
                  <c:v>24.163830687608755</c:v>
                </c:pt>
                <c:pt idx="2">
                  <c:v>42.957921222415571</c:v>
                </c:pt>
                <c:pt idx="3">
                  <c:v>67.121751910024315</c:v>
                </c:pt>
                <c:pt idx="4">
                  <c:v>96.655322750435019</c:v>
                </c:pt>
                <c:pt idx="5">
                  <c:v>131.55863374364768</c:v>
                </c:pt>
                <c:pt idx="6">
                  <c:v>171.83168488966228</c:v>
                </c:pt>
                <c:pt idx="7">
                  <c:v>217.47447618847877</c:v>
                </c:pt>
                <c:pt idx="8">
                  <c:v>268.48700764009726</c:v>
                </c:pt>
                <c:pt idx="9">
                  <c:v>324.86927924451771</c:v>
                </c:pt>
                <c:pt idx="10">
                  <c:v>386.62129100174008</c:v>
                </c:pt>
                <c:pt idx="11">
                  <c:v>453.74304291176441</c:v>
                </c:pt>
                <c:pt idx="12">
                  <c:v>526.2345349745907</c:v>
                </c:pt>
                <c:pt idx="13">
                  <c:v>604.09576719021891</c:v>
                </c:pt>
                <c:pt idx="14">
                  <c:v>687.32673955864914</c:v>
                </c:pt>
                <c:pt idx="15">
                  <c:v>775.92745207988094</c:v>
                </c:pt>
                <c:pt idx="16">
                  <c:v>869.8979047539151</c:v>
                </c:pt>
              </c:numCache>
            </c:numRef>
          </c:yVal>
          <c:smooth val="1"/>
        </c:ser>
        <c:axId val="98712576"/>
        <c:axId val="98722944"/>
      </c:scatterChart>
      <c:scatterChart>
        <c:scatterStyle val="smoothMarker"/>
        <c:ser>
          <c:idx val="2"/>
          <c:order val="1"/>
          <c:tx>
            <c:v>MINPR</c:v>
          </c:tx>
          <c:xVal>
            <c:numRef>
              <c:f>'Power Required'!$C$55:$C$71</c:f>
              <c:numCache>
                <c:formatCode>0</c:formatCode>
                <c:ptCount val="17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  <c:pt idx="16">
                  <c:v>90</c:v>
                </c:pt>
              </c:numCache>
            </c:numRef>
          </c:xVal>
          <c:yVal>
            <c:numRef>
              <c:f>'Power Required'!$F$55:$F$71</c:f>
              <c:numCache>
                <c:formatCode>0.00</c:formatCode>
                <c:ptCount val="17"/>
                <c:pt idx="0">
                  <c:v>0.64126335768569709</c:v>
                </c:pt>
                <c:pt idx="1">
                  <c:v>0.70394286967257425</c:v>
                </c:pt>
                <c:pt idx="2">
                  <c:v>0.75209607755556873</c:v>
                </c:pt>
                <c:pt idx="3">
                  <c:v>0.7917036126308481</c:v>
                </c:pt>
                <c:pt idx="4">
                  <c:v>0.82560879981457658</c:v>
                </c:pt>
                <c:pt idx="5">
                  <c:v>0.85540557203223833</c:v>
                </c:pt>
                <c:pt idx="6">
                  <c:v>0.88208456493738063</c:v>
                </c:pt>
                <c:pt idx="7">
                  <c:v>0.90630693427716147</c:v>
                </c:pt>
                <c:pt idx="8">
                  <c:v>0.92853766632659573</c:v>
                </c:pt>
                <c:pt idx="9">
                  <c:v>0.9491171988399788</c:v>
                </c:pt>
                <c:pt idx="10">
                  <c:v>0.96830285481592149</c:v>
                </c:pt>
                <c:pt idx="11">
                  <c:v>0.98629423972339225</c:v>
                </c:pt>
                <c:pt idx="12">
                  <c:v>1.0032495506470962</c:v>
                </c:pt>
                <c:pt idx="13">
                  <c:v>1.0192964584659567</c:v>
                </c:pt>
                <c:pt idx="14">
                  <c:v>1.0345396059365566</c:v>
                </c:pt>
                <c:pt idx="15">
                  <c:v>1.0490659172183481</c:v>
                </c:pt>
                <c:pt idx="16">
                  <c:v>1.0629484472514545</c:v>
                </c:pt>
              </c:numCache>
            </c:numRef>
          </c:yVal>
          <c:smooth val="1"/>
        </c:ser>
        <c:ser>
          <c:idx val="3"/>
          <c:order val="2"/>
          <c:tx>
            <c:v>MAXPR</c:v>
          </c:tx>
          <c:marker>
            <c:symbol val="diamond"/>
            <c:size val="7"/>
          </c:marker>
          <c:xVal>
            <c:numRef>
              <c:f>'Power Required'!$C$55:$C$71</c:f>
              <c:numCache>
                <c:formatCode>0</c:formatCode>
                <c:ptCount val="17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  <c:pt idx="16">
                  <c:v>90</c:v>
                </c:pt>
              </c:numCache>
            </c:numRef>
          </c:xVal>
          <c:yVal>
            <c:numRef>
              <c:f>'Power Required'!$G$55:$G$71</c:f>
              <c:numCache>
                <c:formatCode>0.00</c:formatCode>
                <c:ptCount val="17"/>
                <c:pt idx="0">
                  <c:v>0.95263285671029441</c:v>
                </c:pt>
                <c:pt idx="1">
                  <c:v>1.0671638593435373</c:v>
                </c:pt>
                <c:pt idx="2">
                  <c:v>1.156681941324279</c:v>
                </c:pt>
                <c:pt idx="3">
                  <c:v>1.2312571312028935</c:v>
                </c:pt>
                <c:pt idx="4">
                  <c:v>1.2957448988261984</c:v>
                </c:pt>
                <c:pt idx="5">
                  <c:v>1.3528966109275991</c:v>
                </c:pt>
                <c:pt idx="6">
                  <c:v>1.4044372960280718</c:v>
                </c:pt>
                <c:pt idx="7">
                  <c:v>1.4515268051231855</c:v>
                </c:pt>
                <c:pt idx="8">
                  <c:v>1.4949861100814745</c:v>
                </c:pt>
                <c:pt idx="9">
                  <c:v>1.5354197036346264</c:v>
                </c:pt>
                <c:pt idx="10">
                  <c:v>1.5732868276357477</c:v>
                </c:pt>
                <c:pt idx="11">
                  <c:v>1.6089453623846037</c:v>
                </c:pt>
                <c:pt idx="12">
                  <c:v>1.6426801441036867</c:v>
                </c:pt>
                <c:pt idx="13">
                  <c:v>1.6747219410517404</c:v>
                </c:pt>
                <c:pt idx="14">
                  <c:v>1.7052605802908964</c:v>
                </c:pt>
                <c:pt idx="15">
                  <c:v>1.7344542770211742</c:v>
                </c:pt>
                <c:pt idx="16">
                  <c:v>1.7624364213428585</c:v>
                </c:pt>
              </c:numCache>
            </c:numRef>
          </c:yVal>
          <c:smooth val="1"/>
        </c:ser>
        <c:ser>
          <c:idx val="4"/>
          <c:order val="3"/>
          <c:tx>
            <c:v>AVGPR</c:v>
          </c:tx>
          <c:xVal>
            <c:numRef>
              <c:f>'Power Required'!$C$55:$C$71</c:f>
              <c:numCache>
                <c:formatCode>0</c:formatCode>
                <c:ptCount val="17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  <c:pt idx="16">
                  <c:v>90</c:v>
                </c:pt>
              </c:numCache>
            </c:numRef>
          </c:xVal>
          <c:yVal>
            <c:numRef>
              <c:f>'Power Required'!$H$55:$H$71</c:f>
              <c:numCache>
                <c:formatCode>0.00</c:formatCode>
                <c:ptCount val="17"/>
                <c:pt idx="0">
                  <c:v>0.80704896785366809</c:v>
                </c:pt>
                <c:pt idx="1">
                  <c:v>0.89677525014675963</c:v>
                </c:pt>
                <c:pt idx="2">
                  <c:v>0.96642395258945379</c:v>
                </c:pt>
                <c:pt idx="3">
                  <c:v>1.0241516963487629</c:v>
                </c:pt>
                <c:pt idx="4">
                  <c:v>1.0738692648800576</c:v>
                </c:pt>
                <c:pt idx="5">
                  <c:v>1.1177831999043073</c:v>
                </c:pt>
                <c:pt idx="6">
                  <c:v>1.1572721028595241</c:v>
                </c:pt>
                <c:pt idx="7">
                  <c:v>1.1932601576814637</c:v>
                </c:pt>
                <c:pt idx="8">
                  <c:v>1.2263998466769948</c:v>
                </c:pt>
                <c:pt idx="9">
                  <c:v>1.2571705119209446</c:v>
                </c:pt>
                <c:pt idx="10">
                  <c:v>1.2859355762386526</c:v>
                </c:pt>
                <c:pt idx="11">
                  <c:v>1.3129777277667378</c:v>
                </c:pt>
                <c:pt idx="12">
                  <c:v>1.3385215782662105</c:v>
                </c:pt>
                <c:pt idx="13">
                  <c:v>1.3627488208164387</c:v>
                </c:pt>
                <c:pt idx="14">
                  <c:v>1.3858086986238465</c:v>
                </c:pt>
                <c:pt idx="15">
                  <c:v>1.4078254344469163</c:v>
                </c:pt>
                <c:pt idx="16">
                  <c:v>1.4289036278937779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'Power Required'!$J$28</c:f>
              <c:strCache>
                <c:ptCount val="1"/>
                <c:pt idx="0">
                  <c:v>16x23</c:v>
                </c:pt>
              </c:strCache>
            </c:strRef>
          </c:tx>
          <c:marker>
            <c:symbol val="circle"/>
            <c:size val="7"/>
          </c:marker>
          <c:dLbls>
            <c:dLbl>
              <c:idx val="0"/>
              <c:layout/>
              <c:showSerName val="1"/>
            </c:dLbl>
            <c:showVal val="1"/>
            <c:showSerName val="1"/>
          </c:dLbls>
          <c:xVal>
            <c:numRef>
              <c:f>'Power Required'!$G$13</c:f>
              <c:numCache>
                <c:formatCode>0</c:formatCode>
                <c:ptCount val="1"/>
                <c:pt idx="0">
                  <c:v>40</c:v>
                </c:pt>
              </c:numCache>
            </c:numRef>
          </c:xVal>
          <c:yVal>
            <c:numRef>
              <c:f>'Power Required'!$J$31</c:f>
              <c:numCache>
                <c:formatCode>0.00</c:formatCode>
                <c:ptCount val="1"/>
                <c:pt idx="0">
                  <c:v>1.4934767499837027</c:v>
                </c:pt>
              </c:numCache>
            </c:numRef>
          </c:yVal>
          <c:smooth val="1"/>
        </c:ser>
        <c:ser>
          <c:idx val="0"/>
          <c:order val="5"/>
          <c:tx>
            <c:strRef>
              <c:f>'Power Required'!$I$28</c:f>
              <c:strCache>
                <c:ptCount val="1"/>
                <c:pt idx="0">
                  <c:v>14x20</c:v>
                </c:pt>
              </c:strCache>
            </c:strRef>
          </c:tx>
          <c:marker>
            <c:symbol val="circle"/>
            <c:size val="7"/>
          </c:marker>
          <c:dLbls>
            <c:showSerName val="1"/>
          </c:dLbls>
          <c:xVal>
            <c:numRef>
              <c:f>'Power Required'!$G$13</c:f>
              <c:numCache>
                <c:formatCode>0</c:formatCode>
                <c:ptCount val="1"/>
                <c:pt idx="0">
                  <c:v>40</c:v>
                </c:pt>
              </c:numCache>
            </c:numRef>
          </c:xVal>
          <c:yVal>
            <c:numRef>
              <c:f>'Power Required'!$I$31</c:f>
              <c:numCache>
                <c:formatCode>0.00</c:formatCode>
                <c:ptCount val="1"/>
                <c:pt idx="0">
                  <c:v>1.3884363256840517</c:v>
                </c:pt>
              </c:numCache>
            </c:numRef>
          </c:yVal>
          <c:smooth val="1"/>
        </c:ser>
        <c:ser>
          <c:idx val="5"/>
          <c:order val="6"/>
          <c:tx>
            <c:strRef>
              <c:f>'Power Required'!$H$28</c:f>
              <c:strCache>
                <c:ptCount val="1"/>
                <c:pt idx="0">
                  <c:v>12x16</c:v>
                </c:pt>
              </c:strCache>
            </c:strRef>
          </c:tx>
          <c:dLbls>
            <c:showSerName val="1"/>
          </c:dLbls>
          <c:xVal>
            <c:numRef>
              <c:f>'Power Required'!$G$13</c:f>
              <c:numCache>
                <c:formatCode>0</c:formatCode>
                <c:ptCount val="1"/>
                <c:pt idx="0">
                  <c:v>40</c:v>
                </c:pt>
              </c:numCache>
            </c:numRef>
          </c:xVal>
          <c:yVal>
            <c:numRef>
              <c:f>'Power Required'!$H$31</c:f>
              <c:numCache>
                <c:formatCode>0.00</c:formatCode>
                <c:ptCount val="1"/>
                <c:pt idx="0">
                  <c:v>1.2698778920294622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'Power Required'!$G$28</c:f>
              <c:strCache>
                <c:ptCount val="1"/>
                <c:pt idx="0">
                  <c:v>11x14</c:v>
                </c:pt>
              </c:strCache>
            </c:strRef>
          </c:tx>
          <c:marker>
            <c:symbol val="circle"/>
            <c:size val="7"/>
          </c:marker>
          <c:dLbls>
            <c:showSerName val="1"/>
          </c:dLbls>
          <c:xVal>
            <c:numRef>
              <c:f>'Power Required'!$G$13</c:f>
              <c:numCache>
                <c:formatCode>0</c:formatCode>
                <c:ptCount val="1"/>
                <c:pt idx="0">
                  <c:v>40</c:v>
                </c:pt>
              </c:numCache>
            </c:numRef>
          </c:xVal>
          <c:yVal>
            <c:numRef>
              <c:f>'Power Required'!$G$31</c:f>
              <c:numCache>
                <c:formatCode>0.00</c:formatCode>
                <c:ptCount val="1"/>
                <c:pt idx="0">
                  <c:v>1.2065769688938515</c:v>
                </c:pt>
              </c:numCache>
            </c:numRef>
          </c:yVal>
          <c:smooth val="1"/>
        </c:ser>
        <c:axId val="98738560"/>
        <c:axId val="98724480"/>
      </c:scatterChart>
      <c:valAx>
        <c:axId val="98712576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MPH</a:t>
                </a:r>
              </a:p>
            </c:rich>
          </c:tx>
          <c:layout/>
        </c:title>
        <c:numFmt formatCode="0" sourceLinked="1"/>
        <c:tickLblPos val="nextTo"/>
        <c:txPr>
          <a:bodyPr rot="0" vert="horz" anchor="t" anchorCtr="0"/>
          <a:lstStyle/>
          <a:p>
            <a:pPr>
              <a:defRPr/>
            </a:pPr>
            <a:endParaRPr lang="en-US"/>
          </a:p>
        </c:txPr>
        <c:crossAx val="98722944"/>
        <c:crosses val="autoZero"/>
        <c:crossBetween val="midCat"/>
      </c:valAx>
      <c:valAx>
        <c:axId val="98722944"/>
        <c:scaling>
          <c:orientation val="minMax"/>
        </c:scaling>
        <c:axPos val="l"/>
        <c:majorGridlines/>
        <c:numFmt formatCode="0" sourceLinked="1"/>
        <c:tickLblPos val="nextTo"/>
        <c:crossAx val="98712576"/>
        <c:crosses val="autoZero"/>
        <c:crossBetween val="midCat"/>
      </c:valAx>
      <c:valAx>
        <c:axId val="98724480"/>
        <c:scaling>
          <c:orientation val="minMax"/>
        </c:scaling>
        <c:axPos val="r"/>
        <c:numFmt formatCode="0.00" sourceLinked="1"/>
        <c:tickLblPos val="nextTo"/>
        <c:crossAx val="98738560"/>
        <c:crosses val="max"/>
        <c:crossBetween val="midCat"/>
      </c:valAx>
      <c:valAx>
        <c:axId val="98738560"/>
        <c:scaling>
          <c:orientation val="minMax"/>
        </c:scaling>
        <c:delete val="1"/>
        <c:axPos val="b"/>
        <c:numFmt formatCode="0" sourceLinked="1"/>
        <c:tickLblPos val="none"/>
        <c:crossAx val="98724480"/>
        <c:crosses val="autoZero"/>
        <c:crossBetween val="midCat"/>
      </c:valAx>
    </c:plotArea>
    <c:legend>
      <c:legendPos val="r"/>
      <c:layout/>
    </c:legend>
    <c:plotVisOnly val="1"/>
    <c:dispBlanksAs val="zero"/>
  </c:chart>
  <c:printSettings>
    <c:headerFooter/>
    <c:pageMargins b="0.750000000000004" l="0.70000000000000062" r="0.70000000000000062" t="0.750000000000004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roundedCorners val="1"/>
  <c:chart>
    <c:title>
      <c:tx>
        <c:rich>
          <a:bodyPr/>
          <a:lstStyle/>
          <a:p>
            <a:pPr>
              <a:defRPr/>
            </a:pPr>
            <a:r>
              <a:rPr lang="en-US"/>
              <a:t>SHP VS MPH</a:t>
            </a:r>
          </a:p>
        </c:rich>
      </c:tx>
      <c:layout>
        <c:manualLayout>
          <c:xMode val="edge"/>
          <c:yMode val="edge"/>
          <c:x val="0.32319250320097687"/>
          <c:y val="1.1618617508021498E-2"/>
        </c:manualLayout>
      </c:layout>
    </c:title>
    <c:plotArea>
      <c:layout>
        <c:manualLayout>
          <c:layoutTarget val="inner"/>
          <c:xMode val="edge"/>
          <c:yMode val="edge"/>
          <c:x val="9.0462626415997935E-2"/>
          <c:y val="0.13674400669305403"/>
          <c:w val="0.6521261193796356"/>
          <c:h val="0.74341958706345002"/>
        </c:manualLayout>
      </c:layout>
      <c:scatterChart>
        <c:scatterStyle val="smoothMarker"/>
        <c:ser>
          <c:idx val="1"/>
          <c:order val="0"/>
          <c:tx>
            <c:v>SHP</c:v>
          </c:tx>
          <c:dLbls>
            <c:showVal val="1"/>
          </c:dLbls>
          <c:xVal>
            <c:numRef>
              <c:f>'Power Required'!$C$55:$C$71</c:f>
              <c:numCache>
                <c:formatCode>0</c:formatCode>
                <c:ptCount val="17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  <c:pt idx="16">
                  <c:v>90</c:v>
                </c:pt>
              </c:numCache>
            </c:numRef>
          </c:xVal>
          <c:yVal>
            <c:numRef>
              <c:f>'Power Required'!$E$55:$E$71</c:f>
              <c:numCache>
                <c:formatCode>0</c:formatCode>
                <c:ptCount val="17"/>
                <c:pt idx="0">
                  <c:v>10.739480305603893</c:v>
                </c:pt>
                <c:pt idx="1">
                  <c:v>24.163830687608755</c:v>
                </c:pt>
                <c:pt idx="2">
                  <c:v>42.957921222415571</c:v>
                </c:pt>
                <c:pt idx="3">
                  <c:v>67.121751910024315</c:v>
                </c:pt>
                <c:pt idx="4">
                  <c:v>96.655322750435019</c:v>
                </c:pt>
                <c:pt idx="5">
                  <c:v>131.55863374364768</c:v>
                </c:pt>
                <c:pt idx="6">
                  <c:v>171.83168488966228</c:v>
                </c:pt>
                <c:pt idx="7">
                  <c:v>217.47447618847877</c:v>
                </c:pt>
                <c:pt idx="8">
                  <c:v>268.48700764009726</c:v>
                </c:pt>
                <c:pt idx="9">
                  <c:v>324.86927924451771</c:v>
                </c:pt>
                <c:pt idx="10">
                  <c:v>386.62129100174008</c:v>
                </c:pt>
                <c:pt idx="11">
                  <c:v>453.74304291176441</c:v>
                </c:pt>
                <c:pt idx="12">
                  <c:v>526.2345349745907</c:v>
                </c:pt>
                <c:pt idx="13">
                  <c:v>604.09576719021891</c:v>
                </c:pt>
                <c:pt idx="14">
                  <c:v>687.32673955864914</c:v>
                </c:pt>
                <c:pt idx="15">
                  <c:v>775.92745207988094</c:v>
                </c:pt>
                <c:pt idx="16">
                  <c:v>869.8979047539151</c:v>
                </c:pt>
              </c:numCache>
            </c:numRef>
          </c:yVal>
          <c:smooth val="1"/>
        </c:ser>
        <c:axId val="100370304"/>
        <c:axId val="100388864"/>
      </c:scatterChart>
      <c:scatterChart>
        <c:scatterStyle val="smoothMarker"/>
        <c:ser>
          <c:idx val="2"/>
          <c:order val="1"/>
          <c:tx>
            <c:v>MINPR</c:v>
          </c:tx>
          <c:xVal>
            <c:numRef>
              <c:f>'Power Required'!$C$55:$C$71</c:f>
              <c:numCache>
                <c:formatCode>0</c:formatCode>
                <c:ptCount val="17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  <c:pt idx="16">
                  <c:v>90</c:v>
                </c:pt>
              </c:numCache>
            </c:numRef>
          </c:xVal>
          <c:yVal>
            <c:numRef>
              <c:f>'Power Required'!$F$55:$F$71</c:f>
              <c:numCache>
                <c:formatCode>0.00</c:formatCode>
                <c:ptCount val="17"/>
                <c:pt idx="0">
                  <c:v>0.64126335768569709</c:v>
                </c:pt>
                <c:pt idx="1">
                  <c:v>0.70394286967257425</c:v>
                </c:pt>
                <c:pt idx="2">
                  <c:v>0.75209607755556873</c:v>
                </c:pt>
                <c:pt idx="3">
                  <c:v>0.7917036126308481</c:v>
                </c:pt>
                <c:pt idx="4">
                  <c:v>0.82560879981457658</c:v>
                </c:pt>
                <c:pt idx="5">
                  <c:v>0.85540557203223833</c:v>
                </c:pt>
                <c:pt idx="6">
                  <c:v>0.88208456493738063</c:v>
                </c:pt>
                <c:pt idx="7">
                  <c:v>0.90630693427716147</c:v>
                </c:pt>
                <c:pt idx="8">
                  <c:v>0.92853766632659573</c:v>
                </c:pt>
                <c:pt idx="9">
                  <c:v>0.9491171988399788</c:v>
                </c:pt>
                <c:pt idx="10">
                  <c:v>0.96830285481592149</c:v>
                </c:pt>
                <c:pt idx="11">
                  <c:v>0.98629423972339225</c:v>
                </c:pt>
                <c:pt idx="12">
                  <c:v>1.0032495506470962</c:v>
                </c:pt>
                <c:pt idx="13">
                  <c:v>1.0192964584659567</c:v>
                </c:pt>
                <c:pt idx="14">
                  <c:v>1.0345396059365566</c:v>
                </c:pt>
                <c:pt idx="15">
                  <c:v>1.0490659172183481</c:v>
                </c:pt>
                <c:pt idx="16">
                  <c:v>1.0629484472514545</c:v>
                </c:pt>
              </c:numCache>
            </c:numRef>
          </c:yVal>
          <c:smooth val="1"/>
        </c:ser>
        <c:ser>
          <c:idx val="3"/>
          <c:order val="2"/>
          <c:tx>
            <c:v>MAXPR</c:v>
          </c:tx>
          <c:marker>
            <c:symbol val="diamond"/>
            <c:size val="7"/>
          </c:marker>
          <c:xVal>
            <c:numRef>
              <c:f>'Power Required'!$C$55:$C$71</c:f>
              <c:numCache>
                <c:formatCode>0</c:formatCode>
                <c:ptCount val="17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  <c:pt idx="16">
                  <c:v>90</c:v>
                </c:pt>
              </c:numCache>
            </c:numRef>
          </c:xVal>
          <c:yVal>
            <c:numRef>
              <c:f>'Power Required'!$G$55:$G$71</c:f>
              <c:numCache>
                <c:formatCode>0.00</c:formatCode>
                <c:ptCount val="17"/>
                <c:pt idx="0">
                  <c:v>0.95263285671029441</c:v>
                </c:pt>
                <c:pt idx="1">
                  <c:v>1.0671638593435373</c:v>
                </c:pt>
                <c:pt idx="2">
                  <c:v>1.156681941324279</c:v>
                </c:pt>
                <c:pt idx="3">
                  <c:v>1.2312571312028935</c:v>
                </c:pt>
                <c:pt idx="4">
                  <c:v>1.2957448988261984</c:v>
                </c:pt>
                <c:pt idx="5">
                  <c:v>1.3528966109275991</c:v>
                </c:pt>
                <c:pt idx="6">
                  <c:v>1.4044372960280718</c:v>
                </c:pt>
                <c:pt idx="7">
                  <c:v>1.4515268051231855</c:v>
                </c:pt>
                <c:pt idx="8">
                  <c:v>1.4949861100814745</c:v>
                </c:pt>
                <c:pt idx="9">
                  <c:v>1.5354197036346264</c:v>
                </c:pt>
                <c:pt idx="10">
                  <c:v>1.5732868276357477</c:v>
                </c:pt>
                <c:pt idx="11">
                  <c:v>1.6089453623846037</c:v>
                </c:pt>
                <c:pt idx="12">
                  <c:v>1.6426801441036867</c:v>
                </c:pt>
                <c:pt idx="13">
                  <c:v>1.6747219410517404</c:v>
                </c:pt>
                <c:pt idx="14">
                  <c:v>1.7052605802908964</c:v>
                </c:pt>
                <c:pt idx="15">
                  <c:v>1.7344542770211742</c:v>
                </c:pt>
                <c:pt idx="16">
                  <c:v>1.7624364213428585</c:v>
                </c:pt>
              </c:numCache>
            </c:numRef>
          </c:yVal>
          <c:smooth val="1"/>
        </c:ser>
        <c:ser>
          <c:idx val="4"/>
          <c:order val="3"/>
          <c:tx>
            <c:v>AVGPR</c:v>
          </c:tx>
          <c:xVal>
            <c:numRef>
              <c:f>'Power Required'!$C$55:$C$71</c:f>
              <c:numCache>
                <c:formatCode>0</c:formatCode>
                <c:ptCount val="17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  <c:pt idx="16">
                  <c:v>90</c:v>
                </c:pt>
              </c:numCache>
            </c:numRef>
          </c:xVal>
          <c:yVal>
            <c:numRef>
              <c:f>'Power Required'!$H$55:$H$71</c:f>
              <c:numCache>
                <c:formatCode>0.00</c:formatCode>
                <c:ptCount val="17"/>
                <c:pt idx="0">
                  <c:v>0.80704896785366809</c:v>
                </c:pt>
                <c:pt idx="1">
                  <c:v>0.89677525014675963</c:v>
                </c:pt>
                <c:pt idx="2">
                  <c:v>0.96642395258945379</c:v>
                </c:pt>
                <c:pt idx="3">
                  <c:v>1.0241516963487629</c:v>
                </c:pt>
                <c:pt idx="4">
                  <c:v>1.0738692648800576</c:v>
                </c:pt>
                <c:pt idx="5">
                  <c:v>1.1177831999043073</c:v>
                </c:pt>
                <c:pt idx="6">
                  <c:v>1.1572721028595241</c:v>
                </c:pt>
                <c:pt idx="7">
                  <c:v>1.1932601576814637</c:v>
                </c:pt>
                <c:pt idx="8">
                  <c:v>1.2263998466769948</c:v>
                </c:pt>
                <c:pt idx="9">
                  <c:v>1.2571705119209446</c:v>
                </c:pt>
                <c:pt idx="10">
                  <c:v>1.2859355762386526</c:v>
                </c:pt>
                <c:pt idx="11">
                  <c:v>1.3129777277667378</c:v>
                </c:pt>
                <c:pt idx="12">
                  <c:v>1.3385215782662105</c:v>
                </c:pt>
                <c:pt idx="13">
                  <c:v>1.3627488208164387</c:v>
                </c:pt>
                <c:pt idx="14">
                  <c:v>1.3858086986238465</c:v>
                </c:pt>
                <c:pt idx="15">
                  <c:v>1.4078254344469163</c:v>
                </c:pt>
                <c:pt idx="16">
                  <c:v>1.4289036278937779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'Power Required'!$O$28</c:f>
              <c:strCache>
                <c:ptCount val="1"/>
                <c:pt idx="0">
                  <c:v>15x22</c:v>
                </c:pt>
              </c:strCache>
            </c:strRef>
          </c:tx>
          <c:marker>
            <c:symbol val="circle"/>
            <c:size val="7"/>
          </c:marker>
          <c:dLbls>
            <c:dLbl>
              <c:idx val="0"/>
              <c:layout/>
              <c:showSerName val="1"/>
            </c:dLbl>
            <c:showVal val="1"/>
            <c:showSerName val="1"/>
          </c:dLbls>
          <c:xVal>
            <c:numRef>
              <c:f>'Power Required'!$G$13</c:f>
              <c:numCache>
                <c:formatCode>0</c:formatCode>
                <c:ptCount val="1"/>
                <c:pt idx="0">
                  <c:v>40</c:v>
                </c:pt>
              </c:numCache>
            </c:numRef>
          </c:xVal>
          <c:yVal>
            <c:numRef>
              <c:f>'Power Required'!$O$31</c:f>
              <c:numCache>
                <c:formatCode>0.00</c:formatCode>
                <c:ptCount val="1"/>
                <c:pt idx="0">
                  <c:v>1.4736885853507666</c:v>
                </c:pt>
              </c:numCache>
            </c:numRef>
          </c:yVal>
          <c:smooth val="1"/>
        </c:ser>
        <c:ser>
          <c:idx val="0"/>
          <c:order val="5"/>
          <c:tx>
            <c:strRef>
              <c:f>'Power Required'!$N$28</c:f>
              <c:strCache>
                <c:ptCount val="1"/>
                <c:pt idx="0">
                  <c:v>13x18</c:v>
                </c:pt>
              </c:strCache>
            </c:strRef>
          </c:tx>
          <c:marker>
            <c:symbol val="circle"/>
            <c:size val="7"/>
          </c:marker>
          <c:dLbls>
            <c:showSerName val="1"/>
          </c:dLbls>
          <c:xVal>
            <c:numRef>
              <c:f>'Power Required'!$G$13</c:f>
              <c:numCache>
                <c:formatCode>0</c:formatCode>
                <c:ptCount val="1"/>
                <c:pt idx="0">
                  <c:v>40</c:v>
                </c:pt>
              </c:numCache>
            </c:numRef>
          </c:xVal>
          <c:yVal>
            <c:numRef>
              <c:f>'Power Required'!$N$31</c:f>
              <c:numCache>
                <c:formatCode>0.00</c:formatCode>
                <c:ptCount val="1"/>
                <c:pt idx="0">
                  <c:v>1.3700399183778857</c:v>
                </c:pt>
              </c:numCache>
            </c:numRef>
          </c:yVal>
          <c:smooth val="1"/>
        </c:ser>
        <c:ser>
          <c:idx val="5"/>
          <c:order val="6"/>
          <c:tx>
            <c:strRef>
              <c:f>'Power Required'!$M$28</c:f>
              <c:strCache>
                <c:ptCount val="1"/>
                <c:pt idx="0">
                  <c:v>12x15</c:v>
                </c:pt>
              </c:strCache>
            </c:strRef>
          </c:tx>
          <c:dLbls>
            <c:showSerName val="1"/>
          </c:dLbls>
          <c:xVal>
            <c:numRef>
              <c:f>'Power Required'!$G$13</c:f>
              <c:numCache>
                <c:formatCode>0</c:formatCode>
                <c:ptCount val="1"/>
                <c:pt idx="0">
                  <c:v>40</c:v>
                </c:pt>
              </c:numCache>
            </c:numRef>
          </c:xVal>
          <c:yVal>
            <c:numRef>
              <c:f>'Power Required'!$M$31</c:f>
              <c:numCache>
                <c:formatCode>0.00</c:formatCode>
                <c:ptCount val="1"/>
                <c:pt idx="0">
                  <c:v>1.2530523520326184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'Power Required'!$L$28</c:f>
              <c:strCache>
                <c:ptCount val="1"/>
                <c:pt idx="0">
                  <c:v>11x13</c:v>
                </c:pt>
              </c:strCache>
            </c:strRef>
          </c:tx>
          <c:marker>
            <c:symbol val="circle"/>
            <c:size val="7"/>
          </c:marker>
          <c:dLbls>
            <c:showSerName val="1"/>
          </c:dLbls>
          <c:xVal>
            <c:numRef>
              <c:f>'Power Required'!$G$13</c:f>
              <c:numCache>
                <c:formatCode>0</c:formatCode>
                <c:ptCount val="1"/>
                <c:pt idx="0">
                  <c:v>40</c:v>
                </c:pt>
              </c:numCache>
            </c:numRef>
          </c:xVal>
          <c:yVal>
            <c:numRef>
              <c:f>'Power Required'!$L$31</c:f>
              <c:numCache>
                <c:formatCode>0.00</c:formatCode>
                <c:ptCount val="1"/>
                <c:pt idx="0">
                  <c:v>1.1905901490769086</c:v>
                </c:pt>
              </c:numCache>
            </c:numRef>
          </c:yVal>
          <c:smooth val="1"/>
        </c:ser>
        <c:axId val="100391936"/>
        <c:axId val="100390400"/>
      </c:scatterChart>
      <c:valAx>
        <c:axId val="100370304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MPH</a:t>
                </a:r>
              </a:p>
            </c:rich>
          </c:tx>
          <c:layout/>
        </c:title>
        <c:numFmt formatCode="0" sourceLinked="1"/>
        <c:tickLblPos val="nextTo"/>
        <c:txPr>
          <a:bodyPr rot="0" vert="horz" anchor="t" anchorCtr="0"/>
          <a:lstStyle/>
          <a:p>
            <a:pPr>
              <a:defRPr/>
            </a:pPr>
            <a:endParaRPr lang="en-US"/>
          </a:p>
        </c:txPr>
        <c:crossAx val="100388864"/>
        <c:crosses val="autoZero"/>
        <c:crossBetween val="midCat"/>
      </c:valAx>
      <c:valAx>
        <c:axId val="100388864"/>
        <c:scaling>
          <c:orientation val="minMax"/>
        </c:scaling>
        <c:axPos val="l"/>
        <c:majorGridlines/>
        <c:numFmt formatCode="0" sourceLinked="1"/>
        <c:tickLblPos val="nextTo"/>
        <c:crossAx val="100370304"/>
        <c:crosses val="autoZero"/>
        <c:crossBetween val="midCat"/>
      </c:valAx>
      <c:valAx>
        <c:axId val="100390400"/>
        <c:scaling>
          <c:orientation val="minMax"/>
        </c:scaling>
        <c:axPos val="r"/>
        <c:numFmt formatCode="0.00" sourceLinked="1"/>
        <c:tickLblPos val="nextTo"/>
        <c:crossAx val="100391936"/>
        <c:crosses val="max"/>
        <c:crossBetween val="midCat"/>
      </c:valAx>
      <c:valAx>
        <c:axId val="100391936"/>
        <c:scaling>
          <c:orientation val="minMax"/>
        </c:scaling>
        <c:delete val="1"/>
        <c:axPos val="b"/>
        <c:numFmt formatCode="0" sourceLinked="1"/>
        <c:tickLblPos val="none"/>
        <c:crossAx val="100390400"/>
        <c:crosses val="autoZero"/>
        <c:crossBetween val="midCat"/>
      </c:valAx>
    </c:plotArea>
    <c:legend>
      <c:legendPos val="r"/>
      <c:layout/>
    </c:legend>
    <c:plotVisOnly val="1"/>
    <c:dispBlanksAs val="zero"/>
  </c:chart>
  <c:printSettings>
    <c:headerFooter/>
    <c:pageMargins b="0.75000000000000422" l="0.70000000000000062" r="0.70000000000000062" t="0.7500000000000042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39689</xdr:colOff>
      <xdr:row>107</xdr:row>
      <xdr:rowOff>48896</xdr:rowOff>
    </xdr:from>
    <xdr:to>
      <xdr:col>7</xdr:col>
      <xdr:colOff>15876</xdr:colOff>
      <xdr:row>134</xdr:row>
      <xdr:rowOff>134940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15</xdr:col>
      <xdr:colOff>251460</xdr:colOff>
      <xdr:row>59</xdr:row>
      <xdr:rowOff>114300</xdr:rowOff>
    </xdr:from>
    <xdr:ext cx="184731" cy="264560"/>
    <xdr:sp macro="" textlink="">
      <xdr:nvSpPr>
        <xdr:cNvPr id="3" name="TextBox 2"/>
        <xdr:cNvSpPr txBox="1"/>
      </xdr:nvSpPr>
      <xdr:spPr>
        <a:xfrm>
          <a:off x="9387840" y="3726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twoCellAnchor>
    <xdr:from>
      <xdr:col>7</xdr:col>
      <xdr:colOff>587376</xdr:colOff>
      <xdr:row>107</xdr:row>
      <xdr:rowOff>40958</xdr:rowOff>
    </xdr:from>
    <xdr:to>
      <xdr:col>15</xdr:col>
      <xdr:colOff>221776</xdr:colOff>
      <xdr:row>134</xdr:row>
      <xdr:rowOff>127002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0.01978</cdr:x>
      <cdr:y>0.05054</cdr:y>
    </cdr:from>
    <cdr:to>
      <cdr:x>0.12019</cdr:x>
      <cdr:y>0.08866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187" y="220979"/>
          <a:ext cx="523875" cy="1666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CA" sz="1100"/>
        </a:p>
      </cdr:txBody>
    </cdr:sp>
  </cdr:relSizeAnchor>
  <cdr:relSizeAnchor xmlns:cdr="http://schemas.openxmlformats.org/drawingml/2006/chartDrawing">
    <cdr:from>
      <cdr:x>0</cdr:x>
      <cdr:y>0.02331</cdr:y>
    </cdr:from>
    <cdr:to>
      <cdr:x>0.08216</cdr:x>
      <cdr:y>0.08503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01916"/>
          <a:ext cx="428625" cy="269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1100" b="1"/>
            <a:t>SHP</a:t>
          </a:r>
        </a:p>
        <a:p xmlns:a="http://schemas.openxmlformats.org/drawingml/2006/main">
          <a:endParaRPr lang="en-CA" sz="1100"/>
        </a:p>
      </cdr:txBody>
    </cdr:sp>
  </cdr:relSizeAnchor>
  <cdr:relSizeAnchor xmlns:cdr="http://schemas.openxmlformats.org/drawingml/2006/chartDrawing">
    <cdr:from>
      <cdr:x>0.7242</cdr:x>
      <cdr:y>0.02876</cdr:y>
    </cdr:from>
    <cdr:to>
      <cdr:x>0.90677</cdr:x>
      <cdr:y>0.08866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778249" y="125728"/>
          <a:ext cx="952500" cy="261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1100" b="1"/>
            <a:t>Pitch Ratio</a:t>
          </a:r>
        </a:p>
        <a:p xmlns:a="http://schemas.openxmlformats.org/drawingml/2006/main">
          <a:endParaRPr lang="en-CA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0.01978</cdr:x>
      <cdr:y>0.05054</cdr:y>
    </cdr:from>
    <cdr:to>
      <cdr:x>0.12019</cdr:x>
      <cdr:y>0.08866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187" y="220979"/>
          <a:ext cx="523875" cy="1666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CA" sz="1100"/>
        </a:p>
      </cdr:txBody>
    </cdr:sp>
  </cdr:relSizeAnchor>
  <cdr:relSizeAnchor xmlns:cdr="http://schemas.openxmlformats.org/drawingml/2006/chartDrawing">
    <cdr:from>
      <cdr:x>0</cdr:x>
      <cdr:y>0.02331</cdr:y>
    </cdr:from>
    <cdr:to>
      <cdr:x>0.09467</cdr:x>
      <cdr:y>0.08503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01918"/>
          <a:ext cx="412748" cy="2698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1100" b="1"/>
            <a:t>SHP</a:t>
          </a:r>
        </a:p>
        <a:p xmlns:a="http://schemas.openxmlformats.org/drawingml/2006/main">
          <a:endParaRPr lang="en-CA" sz="1100"/>
        </a:p>
      </cdr:txBody>
    </cdr:sp>
  </cdr:relSizeAnchor>
  <cdr:relSizeAnchor xmlns:cdr="http://schemas.openxmlformats.org/drawingml/2006/chartDrawing">
    <cdr:from>
      <cdr:x>0.66815</cdr:x>
      <cdr:y>0.02876</cdr:y>
    </cdr:from>
    <cdr:to>
      <cdr:x>0.87751</cdr:x>
      <cdr:y>0.08866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913061" y="125747"/>
          <a:ext cx="912813" cy="261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1100" b="1"/>
            <a:t>Pitch Ratio</a:t>
          </a:r>
        </a:p>
        <a:p xmlns:a="http://schemas.openxmlformats.org/drawingml/2006/main">
          <a:endParaRPr lang="en-CA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anecustomboa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Z149"/>
  <sheetViews>
    <sheetView tabSelected="1" showWhiteSpace="0" topLeftCell="A7" zoomScale="80" zoomScaleNormal="80" zoomScalePageLayoutView="75" workbookViewId="0">
      <selection activeCell="G7" sqref="G7:J7"/>
    </sheetView>
  </sheetViews>
  <sheetFormatPr defaultRowHeight="12.5"/>
  <cols>
    <col min="1" max="1" width="8.7265625" style="107"/>
    <col min="3" max="3" width="11.08984375" customWidth="1"/>
    <col min="4" max="4" width="10.81640625" customWidth="1"/>
    <col min="5" max="5" width="12.453125" customWidth="1"/>
    <col min="6" max="6" width="12.36328125" customWidth="1"/>
    <col min="7" max="16" width="8.6328125" customWidth="1"/>
    <col min="17" max="17" width="3.08984375" customWidth="1"/>
  </cols>
  <sheetData>
    <row r="2" spans="1:26" ht="15.5">
      <c r="A2" s="107" t="s">
        <v>72</v>
      </c>
      <c r="C2" s="117" t="s">
        <v>50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26" s="9" customFormat="1" ht="13">
      <c r="A3" s="107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26" ht="13" customHeight="1">
      <c r="B4" s="1"/>
      <c r="C4" s="143" t="s">
        <v>23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26" s="9" customFormat="1" ht="13" customHeight="1">
      <c r="A5" s="107"/>
      <c r="B5" s="1"/>
      <c r="C5" s="143" t="s">
        <v>51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</row>
    <row r="6" spans="1:26" s="9" customFormat="1" ht="13" customHeight="1">
      <c r="A6" s="107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26" ht="13">
      <c r="B7" s="115" t="s">
        <v>49</v>
      </c>
      <c r="C7" s="144"/>
      <c r="D7" s="144"/>
      <c r="E7" s="144"/>
      <c r="G7" s="145" t="s">
        <v>48</v>
      </c>
      <c r="H7" s="146"/>
      <c r="I7" s="146"/>
      <c r="J7" s="147"/>
      <c r="L7" s="145" t="s">
        <v>48</v>
      </c>
      <c r="M7" s="146"/>
      <c r="N7" s="146"/>
      <c r="O7" s="147"/>
    </row>
    <row r="8" spans="1:26" ht="13">
      <c r="B8" s="115" t="s">
        <v>19</v>
      </c>
      <c r="C8" s="115"/>
      <c r="D8" s="115"/>
      <c r="E8" s="116"/>
      <c r="F8" s="26" t="s">
        <v>0</v>
      </c>
      <c r="G8" s="76">
        <v>185</v>
      </c>
      <c r="H8" s="19"/>
      <c r="I8" s="19"/>
      <c r="J8" s="19"/>
      <c r="K8" s="4"/>
      <c r="L8" s="79">
        <v>325</v>
      </c>
      <c r="M8" s="19"/>
      <c r="N8" s="34"/>
      <c r="O8" s="19"/>
      <c r="P8" s="7"/>
    </row>
    <row r="9" spans="1:26" ht="13">
      <c r="B9" s="115" t="s">
        <v>20</v>
      </c>
      <c r="C9" s="115"/>
      <c r="D9" s="115"/>
      <c r="E9" s="116"/>
      <c r="F9" s="26" t="s">
        <v>2</v>
      </c>
      <c r="G9" s="76">
        <v>4000</v>
      </c>
      <c r="H9" s="19"/>
      <c r="I9" s="19"/>
      <c r="J9" s="19"/>
      <c r="K9" s="4"/>
      <c r="L9" s="79">
        <v>5200</v>
      </c>
      <c r="M9" s="19"/>
      <c r="N9" s="34"/>
      <c r="O9" s="19"/>
      <c r="P9" s="7"/>
      <c r="T9" s="16"/>
      <c r="U9" s="16"/>
      <c r="V9" s="16"/>
      <c r="W9" s="16"/>
      <c r="X9" s="16"/>
      <c r="Y9" s="16"/>
      <c r="Z9" s="16"/>
    </row>
    <row r="10" spans="1:26" ht="13">
      <c r="B10" s="115" t="s">
        <v>21</v>
      </c>
      <c r="C10" s="115"/>
      <c r="D10" s="115"/>
      <c r="E10" s="116"/>
      <c r="F10" s="26" t="s">
        <v>4</v>
      </c>
      <c r="G10" s="77">
        <v>0.88</v>
      </c>
      <c r="H10" s="77">
        <v>1</v>
      </c>
      <c r="I10" s="77">
        <v>1.25</v>
      </c>
      <c r="J10" s="77">
        <v>1.5</v>
      </c>
      <c r="K10" s="4"/>
      <c r="L10" s="79">
        <v>0.88</v>
      </c>
      <c r="M10" s="77">
        <v>1</v>
      </c>
      <c r="N10" s="93">
        <v>1.25</v>
      </c>
      <c r="O10" s="77">
        <v>1.5</v>
      </c>
      <c r="P10" s="7"/>
      <c r="T10" s="15"/>
      <c r="U10" s="16"/>
      <c r="V10" s="16"/>
      <c r="W10" s="16"/>
      <c r="X10" s="16"/>
      <c r="Y10" s="16"/>
      <c r="Z10" s="16"/>
    </row>
    <row r="11" spans="1:26" ht="13">
      <c r="B11" s="115" t="s">
        <v>78</v>
      </c>
      <c r="C11" s="115"/>
      <c r="D11" s="115"/>
      <c r="E11" s="116"/>
      <c r="F11" s="26" t="s">
        <v>7</v>
      </c>
      <c r="G11" s="76">
        <v>150</v>
      </c>
      <c r="H11" s="19"/>
      <c r="I11" s="19"/>
      <c r="J11" s="19"/>
      <c r="K11" s="4"/>
      <c r="L11" s="111">
        <v>150</v>
      </c>
      <c r="M11" s="19"/>
      <c r="N11" s="34"/>
      <c r="O11" s="19"/>
      <c r="P11" s="7"/>
      <c r="T11" s="3"/>
      <c r="U11" s="17"/>
      <c r="V11" s="18"/>
      <c r="W11" s="18"/>
      <c r="X11" s="18"/>
      <c r="Y11" s="18"/>
      <c r="Z11" s="18"/>
    </row>
    <row r="12" spans="1:26" ht="13">
      <c r="A12" s="107" t="s">
        <v>79</v>
      </c>
      <c r="B12" s="115" t="s">
        <v>22</v>
      </c>
      <c r="C12" s="115"/>
      <c r="D12" s="115"/>
      <c r="E12" s="116"/>
      <c r="F12" s="26" t="s">
        <v>8</v>
      </c>
      <c r="G12" s="76">
        <v>3200</v>
      </c>
      <c r="H12" s="19"/>
      <c r="I12" s="19"/>
      <c r="J12" s="19"/>
      <c r="K12" s="4"/>
      <c r="L12" s="79">
        <v>3400</v>
      </c>
      <c r="M12" s="19"/>
      <c r="N12" s="34"/>
      <c r="O12" s="19"/>
      <c r="P12" s="7"/>
      <c r="T12" s="3"/>
      <c r="U12" s="17"/>
      <c r="V12" s="18"/>
      <c r="W12" s="18"/>
      <c r="X12" s="18"/>
      <c r="Y12" s="18"/>
      <c r="Z12" s="18"/>
    </row>
    <row r="13" spans="1:26" s="9" customFormat="1" ht="13">
      <c r="A13" s="107"/>
      <c r="B13" s="115" t="str">
        <f>"Required maximum speed (MPH) &lt; " &amp; TEXT(ROUND((G11/(G12/G15)^0.5)*1.15077945,0),"###") &amp; " MPH   "</f>
        <v xml:space="preserve">Required maximum speed (MPH) &lt; 41 MPH   </v>
      </c>
      <c r="C13" s="115"/>
      <c r="D13" s="115"/>
      <c r="E13" s="116"/>
      <c r="F13" s="26" t="s">
        <v>1</v>
      </c>
      <c r="G13" s="78">
        <v>40</v>
      </c>
      <c r="H13" s="63"/>
      <c r="I13" s="20"/>
      <c r="J13" s="20"/>
      <c r="K13" s="4"/>
      <c r="L13" s="112">
        <v>50</v>
      </c>
      <c r="M13" s="20"/>
      <c r="N13" s="35"/>
      <c r="O13" s="20"/>
      <c r="P13" s="7"/>
      <c r="T13" s="3"/>
      <c r="U13" s="17"/>
      <c r="V13" s="17"/>
      <c r="W13" s="17"/>
      <c r="X13" s="17"/>
      <c r="Y13" s="17"/>
      <c r="Z13" s="17"/>
    </row>
    <row r="14" spans="1:26" s="9" customFormat="1" ht="13">
      <c r="A14" s="107"/>
      <c r="B14" s="14"/>
      <c r="C14" s="14"/>
      <c r="D14" s="14"/>
      <c r="E14" s="23"/>
      <c r="F14" s="4"/>
      <c r="G14" s="33"/>
      <c r="H14" s="33"/>
      <c r="I14" s="33"/>
      <c r="J14" s="33"/>
      <c r="K14" s="4"/>
      <c r="L14" s="31"/>
      <c r="M14" s="31"/>
      <c r="N14" s="31"/>
      <c r="O14" s="19"/>
      <c r="P14" s="7"/>
      <c r="T14" s="3"/>
      <c r="U14" s="17"/>
      <c r="V14" s="18"/>
      <c r="W14" s="18"/>
      <c r="X14" s="18"/>
      <c r="Y14" s="18"/>
      <c r="Z14" s="18"/>
    </row>
    <row r="15" spans="1:26" ht="13">
      <c r="B15" s="115" t="s">
        <v>16</v>
      </c>
      <c r="C15" s="115"/>
      <c r="D15" s="115"/>
      <c r="E15" s="116"/>
      <c r="F15" s="26" t="s">
        <v>3</v>
      </c>
      <c r="G15" s="8">
        <f>G8*0.97</f>
        <v>179.45</v>
      </c>
      <c r="H15" s="21"/>
      <c r="I15" s="21"/>
      <c r="J15" s="21"/>
      <c r="K15" s="4"/>
      <c r="L15" s="8">
        <f>L8*0.97</f>
        <v>315.25</v>
      </c>
      <c r="M15" s="21"/>
      <c r="N15" s="36"/>
      <c r="O15" s="21"/>
      <c r="P15" s="7"/>
      <c r="T15" s="3"/>
      <c r="U15" s="17"/>
      <c r="V15" s="18"/>
      <c r="W15" s="18"/>
      <c r="X15" s="18"/>
      <c r="Y15" s="18"/>
      <c r="Z15" s="18"/>
    </row>
    <row r="16" spans="1:26" ht="13">
      <c r="B16" s="115" t="s">
        <v>18</v>
      </c>
      <c r="C16" s="115"/>
      <c r="D16" s="115"/>
      <c r="E16" s="116"/>
      <c r="F16" s="26" t="s">
        <v>5</v>
      </c>
      <c r="G16" s="8">
        <f>G9/G10</f>
        <v>4545.454545454545</v>
      </c>
      <c r="H16" s="29">
        <f>G9/H10</f>
        <v>4000</v>
      </c>
      <c r="I16" s="8">
        <f>G9/I10</f>
        <v>3200</v>
      </c>
      <c r="J16" s="8">
        <f>G9/J10</f>
        <v>2666.6666666666665</v>
      </c>
      <c r="K16" s="4"/>
      <c r="L16" s="8">
        <f>L9/L10</f>
        <v>5909.090909090909</v>
      </c>
      <c r="M16" s="8">
        <f>L9/M10</f>
        <v>5200</v>
      </c>
      <c r="N16" s="37">
        <f>L9/N10</f>
        <v>4160</v>
      </c>
      <c r="O16" s="8">
        <f>L9/O10</f>
        <v>3466.6666666666665</v>
      </c>
      <c r="P16" s="7"/>
      <c r="T16" s="3"/>
      <c r="U16" s="17"/>
      <c r="V16" s="18"/>
      <c r="W16" s="18"/>
      <c r="X16" s="18"/>
      <c r="Y16" s="18"/>
      <c r="Z16" s="18"/>
    </row>
    <row r="17" spans="1:26" ht="13">
      <c r="A17" s="107" t="s">
        <v>80</v>
      </c>
      <c r="B17" s="115" t="s">
        <v>17</v>
      </c>
      <c r="C17" s="115"/>
      <c r="D17" s="115"/>
      <c r="E17" s="116"/>
      <c r="F17" s="26" t="s">
        <v>6</v>
      </c>
      <c r="G17" s="8">
        <f>G13*0.868976241900648</f>
        <v>34.759049676025924</v>
      </c>
      <c r="H17" s="21"/>
      <c r="I17" s="21"/>
      <c r="J17" s="21"/>
      <c r="K17" s="4"/>
      <c r="L17" s="8">
        <f>L13*0.868976241900648</f>
        <v>43.448812095032402</v>
      </c>
      <c r="M17" s="21"/>
      <c r="N17" s="36"/>
      <c r="O17" s="21"/>
      <c r="P17" s="7"/>
    </row>
    <row r="18" spans="1:26" ht="13">
      <c r="A18" s="107" t="s">
        <v>81</v>
      </c>
      <c r="B18" s="134" t="s">
        <v>25</v>
      </c>
      <c r="C18" s="134"/>
      <c r="D18" s="134"/>
      <c r="E18" s="134"/>
      <c r="F18" s="38" t="s">
        <v>6</v>
      </c>
      <c r="G18" s="8">
        <f>G11/(G12/G15)^0.5</f>
        <v>35.521230447438043</v>
      </c>
      <c r="H18" s="21"/>
      <c r="I18" s="21"/>
      <c r="J18" s="21"/>
      <c r="K18" s="27"/>
      <c r="L18" s="8">
        <f>L11/(L12/L15)^0.5</f>
        <v>45.675083309109766</v>
      </c>
      <c r="M18" s="21"/>
      <c r="N18" s="36"/>
      <c r="O18" s="21"/>
      <c r="P18" s="7"/>
    </row>
    <row r="19" spans="1:26" s="9" customFormat="1" ht="13">
      <c r="A19" s="107"/>
      <c r="B19" s="134"/>
      <c r="C19" s="134"/>
      <c r="D19" s="134"/>
      <c r="E19" s="134"/>
      <c r="F19" s="38" t="s">
        <v>1</v>
      </c>
      <c r="G19" s="8">
        <f>G18*1.15077945</f>
        <v>40.877102037626003</v>
      </c>
      <c r="H19" s="21"/>
      <c r="I19" s="21"/>
      <c r="J19" s="21"/>
      <c r="K19" s="28"/>
      <c r="L19" s="8">
        <f>L18*1.15077945</f>
        <v>52.561947249161513</v>
      </c>
      <c r="M19" s="21"/>
      <c r="N19" s="36"/>
      <c r="O19" s="21"/>
      <c r="P19" s="7"/>
    </row>
    <row r="20" spans="1:26" ht="13">
      <c r="B20" s="115" t="s">
        <v>15</v>
      </c>
      <c r="C20" s="115"/>
      <c r="D20" s="115"/>
      <c r="E20" s="115"/>
      <c r="F20" s="41" t="s">
        <v>3</v>
      </c>
      <c r="G20" s="8">
        <f>G15</f>
        <v>179.45</v>
      </c>
      <c r="H20" s="21"/>
      <c r="I20" s="21"/>
      <c r="J20" s="21"/>
      <c r="K20" s="27"/>
      <c r="L20" s="8">
        <f>L15</f>
        <v>315.25</v>
      </c>
      <c r="M20" s="21"/>
      <c r="N20" s="36"/>
      <c r="O20" s="21"/>
      <c r="P20" s="7"/>
      <c r="Q20" s="7"/>
    </row>
    <row r="21" spans="1:26" ht="13">
      <c r="A21" s="107" t="s">
        <v>82</v>
      </c>
      <c r="B21" s="115" t="str">
        <f>"SHP required to reach desired speed of " &amp; G13 &amp; " MPH    "</f>
        <v xml:space="preserve">SHP required to reach desired speed of 40 MPH    </v>
      </c>
      <c r="C21" s="115"/>
      <c r="D21" s="115"/>
      <c r="E21" s="115"/>
      <c r="F21" s="41" t="s">
        <v>34</v>
      </c>
      <c r="G21" s="8">
        <f>((G17/G11)^2)*G12</f>
        <v>171.83168488966228</v>
      </c>
      <c r="H21" s="21"/>
      <c r="I21" s="21"/>
      <c r="J21" s="21"/>
      <c r="K21" s="74" t="str">
        <f>IF(G21&lt;=G20,ROUND(G20-G21,0) &amp; " Res ", ROUND(G21-G20,0) &amp; " Add")</f>
        <v xml:space="preserve">8 Res </v>
      </c>
      <c r="L21" s="8">
        <f>((L17/L11)^2)*G12</f>
        <v>268.48700764009726</v>
      </c>
      <c r="M21" s="21"/>
      <c r="N21" s="21"/>
      <c r="O21" s="21"/>
      <c r="P21" s="30" t="str">
        <f>IF(L21&lt;=L20,"   " &amp; ROUND(L20-L21,0) &amp; " Res ", "   " &amp; ROUND(L21-L20,0) &amp; " Add")</f>
        <v xml:space="preserve">   47 Res </v>
      </c>
      <c r="Q21" s="30"/>
      <c r="R21" s="30"/>
      <c r="S21" s="30"/>
      <c r="T21" s="30"/>
    </row>
    <row r="22" spans="1:26" s="9" customFormat="1" ht="13">
      <c r="A22" s="107"/>
      <c r="B22" s="60"/>
      <c r="C22" s="60"/>
      <c r="D22" s="60"/>
      <c r="E22" s="60"/>
      <c r="F22" s="4"/>
      <c r="G22" s="32"/>
      <c r="H22" s="32"/>
      <c r="I22" s="32"/>
      <c r="J22" s="32"/>
      <c r="K22" s="30"/>
      <c r="L22" s="32"/>
      <c r="M22" s="32"/>
      <c r="N22" s="32"/>
      <c r="O22" s="32"/>
      <c r="P22" s="30"/>
      <c r="Q22" s="30"/>
      <c r="R22" s="30"/>
      <c r="S22" s="30"/>
      <c r="T22" s="30"/>
    </row>
    <row r="23" spans="1:26" s="9" customFormat="1" ht="13">
      <c r="A23" s="107"/>
      <c r="B23" s="81"/>
      <c r="C23" s="81"/>
      <c r="D23" s="81"/>
      <c r="E23" s="81"/>
      <c r="F23" s="4"/>
      <c r="G23" s="32"/>
      <c r="H23" s="32"/>
      <c r="I23" s="32"/>
      <c r="J23" s="32"/>
      <c r="K23" s="30"/>
      <c r="L23" s="32"/>
      <c r="M23" s="32"/>
      <c r="N23" s="32"/>
      <c r="O23" s="32"/>
      <c r="P23" s="30"/>
      <c r="Q23" s="30"/>
      <c r="R23" s="30"/>
      <c r="S23" s="30"/>
      <c r="T23" s="30"/>
    </row>
    <row r="24" spans="1:26" s="9" customFormat="1">
      <c r="A24" s="107"/>
    </row>
    <row r="25" spans="1:26" s="9" customFormat="1" ht="13" customHeight="1">
      <c r="A25" s="107" t="s">
        <v>65</v>
      </c>
      <c r="B25" s="117" t="str">
        <f>"Recommended Propellers ( C = " &amp; G11 &amp;" )"</f>
        <v>Recommended Propellers ( C = 150 )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30"/>
      <c r="Q25" s="30"/>
      <c r="R25" s="30"/>
      <c r="S25" s="30"/>
      <c r="T25" s="30"/>
    </row>
    <row r="26" spans="1:26" s="9" customFormat="1">
      <c r="A26" s="107"/>
    </row>
    <row r="27" spans="1:26" s="9" customFormat="1" ht="13">
      <c r="A27" s="107"/>
      <c r="B27" s="115" t="s">
        <v>21</v>
      </c>
      <c r="C27" s="115"/>
      <c r="D27" s="115"/>
      <c r="E27" s="116"/>
      <c r="F27" s="26" t="s">
        <v>4</v>
      </c>
      <c r="G27" s="95">
        <f>G10</f>
        <v>0.88</v>
      </c>
      <c r="H27" s="95">
        <f>H10</f>
        <v>1</v>
      </c>
      <c r="I27" s="95">
        <f>I10</f>
        <v>1.25</v>
      </c>
      <c r="J27" s="95">
        <f>J10</f>
        <v>1.5</v>
      </c>
      <c r="K27" s="4"/>
      <c r="L27" s="95">
        <f>L10</f>
        <v>0.88</v>
      </c>
      <c r="M27" s="95">
        <f>M10</f>
        <v>1</v>
      </c>
      <c r="N27" s="96">
        <f>N10</f>
        <v>1.25</v>
      </c>
      <c r="O27" s="95">
        <f>O10</f>
        <v>1.5</v>
      </c>
      <c r="P27" s="7"/>
      <c r="T27" s="15"/>
      <c r="U27" s="16"/>
      <c r="V27" s="16"/>
      <c r="W27" s="16"/>
      <c r="X27" s="16"/>
      <c r="Y27" s="16"/>
      <c r="Z27" s="16"/>
    </row>
    <row r="28" spans="1:26" s="9" customFormat="1" ht="13">
      <c r="A28" s="107" t="s">
        <v>83</v>
      </c>
      <c r="B28" s="47"/>
      <c r="C28" s="47"/>
      <c r="D28" s="47"/>
      <c r="E28" s="45"/>
      <c r="F28" s="15"/>
      <c r="G28" s="62" t="str">
        <f>TEXT(G29,"##") &amp; "x" &amp; TEXT(G30,"##")</f>
        <v>11x14</v>
      </c>
      <c r="H28" s="62" t="str">
        <f>TEXT(H29,"##") &amp; "x" &amp; TEXT(H30,"##")</f>
        <v>12x16</v>
      </c>
      <c r="I28" s="62" t="str">
        <f>TEXT(I29,"##") &amp; "x" &amp; TEXT(I30,"##")</f>
        <v>14x20</v>
      </c>
      <c r="J28" s="62" t="str">
        <f>TEXT(J29,"##") &amp; "x" &amp; TEXT(J30,"##")</f>
        <v>16x23</v>
      </c>
      <c r="K28" s="54"/>
      <c r="L28" s="62" t="str">
        <f>TEXT(L29,"##") &amp; "x" &amp; TEXT(L30,"##")</f>
        <v>11x13</v>
      </c>
      <c r="M28" s="62" t="str">
        <f>TEXT(M29,"##") &amp; "x" &amp; TEXT(M30,"##")</f>
        <v>12x15</v>
      </c>
      <c r="N28" s="62" t="str">
        <f>TEXT(N29,"##") &amp; "x" &amp; TEXT(N30,"##")</f>
        <v>13x18</v>
      </c>
      <c r="O28" s="62" t="str">
        <f>TEXT(O29,"##") &amp; "x" &amp; TEXT(O30,"##")</f>
        <v>15x22</v>
      </c>
      <c r="P28" s="30"/>
      <c r="Q28" s="30"/>
      <c r="R28" s="30"/>
      <c r="S28" s="30"/>
      <c r="T28" s="30"/>
    </row>
    <row r="29" spans="1:26" ht="13">
      <c r="B29" s="119" t="s">
        <v>40</v>
      </c>
      <c r="C29" s="119"/>
      <c r="D29" s="119"/>
      <c r="E29" s="119"/>
      <c r="F29" s="41" t="s">
        <v>33</v>
      </c>
      <c r="G29" s="42">
        <f>632.7*G15^0.2/G16^0.6</f>
        <v>11.414059587968641</v>
      </c>
      <c r="H29" s="42">
        <f>632.7*G15^0.2/H16^0.6</f>
        <v>12.323967155054659</v>
      </c>
      <c r="I29" s="42">
        <f>632.7*G15^0.2/I16^0.6</f>
        <v>14.089531099482331</v>
      </c>
      <c r="J29" s="42">
        <f>632.7*G15^0.2/J16^0.6</f>
        <v>15.718289654464236</v>
      </c>
      <c r="K29" s="27"/>
      <c r="L29" s="42">
        <f>632.7*L15^0.2/L16^0.6</f>
        <v>10.914816798417583</v>
      </c>
      <c r="M29" s="42">
        <f>632.7*L15^0.2/M16^0.6</f>
        <v>11.784925660360651</v>
      </c>
      <c r="N29" s="42">
        <f>632.7*L15^0.2/N16^0.6</f>
        <v>13.473265102677274</v>
      </c>
      <c r="O29" s="42">
        <f>632.7*L15^0.2/O16^0.6</f>
        <v>15.030782925277535</v>
      </c>
      <c r="P29" s="5"/>
    </row>
    <row r="30" spans="1:26" s="9" customFormat="1" ht="13">
      <c r="A30" s="107"/>
      <c r="B30" s="119"/>
      <c r="C30" s="119"/>
      <c r="D30" s="119"/>
      <c r="E30" s="119"/>
      <c r="F30" s="41" t="s">
        <v>32</v>
      </c>
      <c r="G30" s="42">
        <f>((G17*101.3)/(G9/G10*0.8)*12) * (1+1.4/(POWER(G17,0.57)))</f>
        <v>13.771941420425005</v>
      </c>
      <c r="H30" s="42">
        <f>((G17*101.3)/(G9/H10*0.8)*12) * (1+1.4/(POWER(G17,0.57)))</f>
        <v>15.649933432301138</v>
      </c>
      <c r="I30" s="42">
        <f>((G17*101.3)/(G9/I10*0.8)*12) * (1+1.4/(POWER(G17,0.57)))</f>
        <v>19.562416790376425</v>
      </c>
      <c r="J30" s="42">
        <f>((G17*101.3)/(G9/J10*0.8)*12) * (1+1.4/(POWER(G17,0.57)))</f>
        <v>23.474900148451706</v>
      </c>
      <c r="K30" s="49"/>
      <c r="L30" s="42">
        <f>((L17*101.3)/(L9/L10*0.8)*12) * (1+1.4/(POWER(L17,0.57)))</f>
        <v>12.995073359175136</v>
      </c>
      <c r="M30" s="42">
        <f>((L17*101.3)/(L9/M10*0.8)*12) * (1+1.4/(POWER(L17,0.57)))</f>
        <v>14.767128817244473</v>
      </c>
      <c r="N30" s="42">
        <f>((L17*101.3)/(L9/N10*0.8)*12) * (1+1.4/(POWER(L17,0.57)))</f>
        <v>18.45891102155559</v>
      </c>
      <c r="O30" s="42">
        <f>((L17*101.3)/(L9/O10*0.8)*12) * (1+1.4/(POWER(L17,0.57)))</f>
        <v>22.150693225866707</v>
      </c>
      <c r="P30" s="5"/>
    </row>
    <row r="31" spans="1:26" s="9" customFormat="1" ht="13">
      <c r="A31" s="107"/>
      <c r="B31" s="139" t="s">
        <v>38</v>
      </c>
      <c r="C31" s="140"/>
      <c r="D31" s="140"/>
      <c r="E31" s="140"/>
      <c r="F31" s="15"/>
      <c r="G31" s="57">
        <f>G30/G29</f>
        <v>1.2065769688938515</v>
      </c>
      <c r="H31" s="57">
        <f>H30/H29</f>
        <v>1.2698778920294622</v>
      </c>
      <c r="I31" s="57">
        <f>I30/I29</f>
        <v>1.3884363256840517</v>
      </c>
      <c r="J31" s="57">
        <f>J30/J29</f>
        <v>1.4934767499837027</v>
      </c>
      <c r="L31" s="43">
        <f>L30/L29</f>
        <v>1.1905901490769086</v>
      </c>
      <c r="M31" s="43">
        <f>M30/M29</f>
        <v>1.2530523520326184</v>
      </c>
      <c r="N31" s="43">
        <f>N30/N29</f>
        <v>1.3700399183778857</v>
      </c>
      <c r="O31" s="43">
        <f>O30/O29</f>
        <v>1.4736885853507666</v>
      </c>
    </row>
    <row r="32" spans="1:26" s="9" customFormat="1" ht="13" customHeight="1">
      <c r="A32" s="107" t="s">
        <v>84</v>
      </c>
      <c r="B32" s="139" t="str">
        <f xml:space="preserve"> "Pitch Ratio Test (Min:" &amp; TEXT(VLOOKUP(G13,C55:H71,4),"0.##") &amp; " Avg:" &amp; TEXT(VLOOKUP(G13,C55:H71,6),"0.##") &amp; " Max:" &amp; TEXT(VLOOKUP(G13,C55:H71,5),"0.##") &amp; ")  "</f>
        <v xml:space="preserve">Pitch Ratio Test (Min:0.88 Avg:1.16 Max:1.4)  </v>
      </c>
      <c r="C32" s="140"/>
      <c r="D32" s="140"/>
      <c r="E32" s="140"/>
      <c r="F32" s="55"/>
      <c r="G32" s="53" t="str">
        <f>IF(AND(G31&lt;=VLOOKUP(G13,C55:H71,5),G31&gt;=VLOOKUP(G13,C55:H71,4)),"OK","Fail")</f>
        <v>OK</v>
      </c>
      <c r="H32" s="53" t="str">
        <f>IF(AND(H31&lt;=VLOOKUP(G13,C55:H71,5),H31&gt;=VLOOKUP(G13,C55:H71,4)),"OK","Fail")</f>
        <v>OK</v>
      </c>
      <c r="I32" s="53" t="str">
        <f>IF(AND(I31&lt;=VLOOKUP(G13,C55:H71,5),I31&gt;=VLOOKUP(G13,C55:H71,4)),"OK","Fail")</f>
        <v>OK</v>
      </c>
      <c r="J32" s="53" t="str">
        <f>IF(AND(J31&lt;=VLOOKUP(G13,C55:H71,5),J31&gt;=VLOOKUP(G13,C55:H71,4)),"OK","Fail")</f>
        <v>Fail</v>
      </c>
      <c r="L32" s="44" t="str">
        <f>IF(AND(L31&lt;=VLOOKUP(G13,C55:H71,5),L31&gt;=VLOOKUP(G13,C55:H71,4)),"OK","Fail")</f>
        <v>OK</v>
      </c>
      <c r="M32" s="44" t="str">
        <f>IF(AND(M31&lt;=VLOOKUP(G13,C55:H71,5),M31&gt;=VLOOKUP(G13,C55:H71,4)),"OK","Fail")</f>
        <v>OK</v>
      </c>
      <c r="N32" s="44" t="str">
        <f>IF(AND(N31&lt;=VLOOKUP(G13,C55:H71,5),N31&gt;=VLOOKUP(G13,C55:H71,4)),"OK","Fail")</f>
        <v>OK</v>
      </c>
      <c r="O32" s="44" t="str">
        <f>IF(AND(O31&lt;=VLOOKUP(G13,C55:H71,5),O31&gt;=VLOOKUP(G13,C55:H71,4)),"OK","Fail")</f>
        <v>Fail</v>
      </c>
    </row>
    <row r="33" spans="1:21" s="9" customFormat="1" ht="13">
      <c r="A33" s="107"/>
      <c r="B33" s="130" t="s">
        <v>35</v>
      </c>
      <c r="C33" s="141"/>
      <c r="D33" s="141"/>
      <c r="E33" s="141"/>
      <c r="F33" s="41" t="s">
        <v>36</v>
      </c>
      <c r="G33" s="21">
        <f>1.4/POWER(G17,0.57)*100</f>
        <v>18.523341604663955</v>
      </c>
      <c r="H33" s="21">
        <f>1.4/POWER(G17,0.57)*100</f>
        <v>18.523341604663955</v>
      </c>
      <c r="I33" s="21">
        <f>1.4/POWER(G17,0.57)*100</f>
        <v>18.523341604663955</v>
      </c>
      <c r="J33" s="21">
        <f>1.4/POWER(G17,0.57)*100</f>
        <v>18.523341604663955</v>
      </c>
      <c r="K33" s="52"/>
      <c r="L33" s="21">
        <f>1.4/POWER(L17,0.57)*100</f>
        <v>16.31100153451256</v>
      </c>
      <c r="M33" s="21">
        <f>1.4/POWER(L17,0.57)*100</f>
        <v>16.31100153451256</v>
      </c>
      <c r="N33" s="21">
        <f>1.4/POWER(L17,0.57)*100</f>
        <v>16.31100153451256</v>
      </c>
      <c r="O33" s="21">
        <f>1.4/POWER(L17,0.57)*100</f>
        <v>16.31100153451256</v>
      </c>
      <c r="P33" s="5"/>
    </row>
    <row r="34" spans="1:21" s="9" customFormat="1" ht="13">
      <c r="A34" s="107"/>
      <c r="B34" s="47"/>
      <c r="C34" s="47"/>
      <c r="D34" s="47"/>
      <c r="E34" s="39"/>
      <c r="F34" s="4"/>
      <c r="G34" s="32"/>
      <c r="H34" s="32"/>
      <c r="I34" s="32"/>
      <c r="J34" s="32"/>
      <c r="K34" s="52"/>
      <c r="L34" s="32"/>
      <c r="M34" s="32"/>
      <c r="N34" s="32"/>
      <c r="O34" s="32"/>
      <c r="P34" s="5"/>
    </row>
    <row r="35" spans="1:21" s="9" customFormat="1" ht="13">
      <c r="A35" s="107"/>
      <c r="B35" s="119" t="s">
        <v>39</v>
      </c>
      <c r="C35" s="119"/>
      <c r="D35" s="119"/>
      <c r="E35" s="119"/>
      <c r="F35" s="41" t="s">
        <v>33</v>
      </c>
      <c r="G35" s="42">
        <f>G29-1</f>
        <v>10.414059587968641</v>
      </c>
      <c r="H35" s="42">
        <f>H29-1</f>
        <v>11.323967155054659</v>
      </c>
      <c r="I35" s="42">
        <f>I29-1</f>
        <v>13.089531099482331</v>
      </c>
      <c r="J35" s="42">
        <f>J29-1</f>
        <v>14.718289654464236</v>
      </c>
      <c r="K35" s="49"/>
      <c r="L35" s="42">
        <f>L29-1</f>
        <v>9.9148167984175828</v>
      </c>
      <c r="M35" s="42">
        <f>M29-1</f>
        <v>10.784925660360651</v>
      </c>
      <c r="N35" s="42">
        <f>N29-1</f>
        <v>12.473265102677274</v>
      </c>
      <c r="O35" s="42">
        <f>O29-1</f>
        <v>14.030782925277535</v>
      </c>
      <c r="P35" s="5"/>
    </row>
    <row r="36" spans="1:21" s="9" customFormat="1" ht="13">
      <c r="A36" s="107"/>
      <c r="B36" s="119"/>
      <c r="C36" s="119"/>
      <c r="D36" s="119"/>
      <c r="E36" s="119"/>
      <c r="F36" s="41" t="s">
        <v>32</v>
      </c>
      <c r="G36" s="42">
        <f>ROUND(G30,1)+2.5</f>
        <v>16.3</v>
      </c>
      <c r="H36" s="42">
        <f>ROUND(H30,1)+2.5</f>
        <v>18.100000000000001</v>
      </c>
      <c r="I36" s="42">
        <f>ROUND(I30,1)+2.5</f>
        <v>22.1</v>
      </c>
      <c r="J36" s="42">
        <f>ROUND(J30,1)+2.5</f>
        <v>26</v>
      </c>
      <c r="K36" s="49"/>
      <c r="L36" s="42">
        <f>ROUND(L30,1)+2.5</f>
        <v>15.5</v>
      </c>
      <c r="M36" s="42">
        <f>ROUND(M30,1)+2.5</f>
        <v>17.3</v>
      </c>
      <c r="N36" s="42">
        <f>ROUND(N30,1)+2.5</f>
        <v>21</v>
      </c>
      <c r="O36" s="42">
        <f>ROUND(O30,1)+2.5</f>
        <v>24.7</v>
      </c>
      <c r="P36" s="5"/>
    </row>
    <row r="37" spans="1:21" s="9" customFormat="1" ht="13">
      <c r="A37" s="107"/>
      <c r="B37" s="50"/>
      <c r="C37" s="50"/>
      <c r="D37" s="50"/>
      <c r="E37" s="51"/>
      <c r="F37" s="4"/>
      <c r="G37" s="32"/>
      <c r="H37" s="32"/>
      <c r="I37" s="32"/>
      <c r="J37" s="32"/>
      <c r="K37" s="52"/>
      <c r="L37" s="32"/>
      <c r="M37" s="32"/>
      <c r="N37" s="32"/>
      <c r="O37" s="32"/>
      <c r="P37" s="5"/>
    </row>
    <row r="38" spans="1:21" s="9" customFormat="1" ht="13">
      <c r="A38" s="107"/>
      <c r="B38" s="119" t="s">
        <v>41</v>
      </c>
      <c r="C38" s="119"/>
      <c r="D38" s="119"/>
      <c r="E38" s="119"/>
      <c r="F38" s="41" t="s">
        <v>33</v>
      </c>
      <c r="G38" s="42">
        <f>G29*0.94</f>
        <v>10.729216012690522</v>
      </c>
      <c r="H38" s="42">
        <f>H29*0.94</f>
        <v>11.584529125751379</v>
      </c>
      <c r="I38" s="42">
        <f>I29*0.94</f>
        <v>13.24415923351339</v>
      </c>
      <c r="J38" s="42">
        <f>J29*0.94</f>
        <v>14.775192275196382</v>
      </c>
      <c r="K38" s="39"/>
      <c r="L38" s="42">
        <f>L29*0.94</f>
        <v>10.259927790512528</v>
      </c>
      <c r="M38" s="42">
        <f>M29*0.94</f>
        <v>11.07783012073901</v>
      </c>
      <c r="N38" s="42">
        <f>N29*0.94</f>
        <v>12.664869196516637</v>
      </c>
      <c r="O38" s="42">
        <f>O29*0.94</f>
        <v>14.128935949760882</v>
      </c>
      <c r="P38" s="5"/>
    </row>
    <row r="39" spans="1:21" s="9" customFormat="1" ht="13">
      <c r="A39" s="107"/>
      <c r="B39" s="119"/>
      <c r="C39" s="119"/>
      <c r="D39" s="119"/>
      <c r="E39" s="119"/>
      <c r="F39" s="41" t="s">
        <v>32</v>
      </c>
      <c r="G39" s="42">
        <f>G30*0.98</f>
        <v>13.496502592016505</v>
      </c>
      <c r="H39" s="42">
        <f>H30*0.98</f>
        <v>15.336934763655115</v>
      </c>
      <c r="I39" s="42">
        <f>I30*0.98</f>
        <v>19.171168454568896</v>
      </c>
      <c r="J39" s="42">
        <f>J30*0.98</f>
        <v>23.005402145482673</v>
      </c>
      <c r="K39" s="49"/>
      <c r="L39" s="42">
        <f>L30*0.98</f>
        <v>12.735171891991632</v>
      </c>
      <c r="M39" s="42">
        <f>M30*0.98</f>
        <v>14.471786240899583</v>
      </c>
      <c r="N39" s="42">
        <f>N30*0.98</f>
        <v>18.089732801124477</v>
      </c>
      <c r="O39" s="42">
        <f>O30*0.98</f>
        <v>21.707679361349374</v>
      </c>
      <c r="P39" s="5"/>
    </row>
    <row r="40" spans="1:21" s="9" customFormat="1" ht="13">
      <c r="A40" s="107"/>
      <c r="B40" s="128" t="s">
        <v>38</v>
      </c>
      <c r="C40" s="129"/>
      <c r="D40" s="129"/>
      <c r="E40" s="129"/>
      <c r="F40" s="15"/>
      <c r="G40" s="43">
        <f>G39/G38</f>
        <v>1.2579206696978451</v>
      </c>
      <c r="H40" s="43">
        <f>H39/H38</f>
        <v>1.3239152491370989</v>
      </c>
      <c r="I40" s="43">
        <f>I39/I38</f>
        <v>1.447518722521671</v>
      </c>
      <c r="J40" s="43">
        <f>J39/J38</f>
        <v>1.5570289521106691</v>
      </c>
      <c r="L40" s="43">
        <f>L39/L38</f>
        <v>1.2412535596759258</v>
      </c>
      <c r="M40" s="43">
        <f>M39/M38</f>
        <v>1.3063737287148576</v>
      </c>
      <c r="N40" s="43">
        <f>N39/N38</f>
        <v>1.4283394893726895</v>
      </c>
      <c r="O40" s="43">
        <f>O39/O38</f>
        <v>1.5363987379188844</v>
      </c>
    </row>
    <row r="41" spans="1:21" s="9" customFormat="1" ht="13" customHeight="1">
      <c r="A41" s="107"/>
      <c r="B41" s="130" t="str">
        <f xml:space="preserve"> "Pitch Ratio Test (Min:" &amp; TEXT(VLOOKUP(G13,C55:H71,4),"0.##") &amp; " Avg:" &amp; TEXT(VLOOKUP(G13,C55:H71,6),"0.##") &amp; " Max:" &amp; TEXT(VLOOKUP(G13,C55:H71,5),"0.##") &amp; ")  "</f>
        <v xml:space="preserve">Pitch Ratio Test (Min:0.88 Avg:1.16 Max:1.4)  </v>
      </c>
      <c r="C41" s="131"/>
      <c r="D41" s="131"/>
      <c r="E41" s="131"/>
      <c r="F41" s="56"/>
      <c r="G41" s="44" t="str">
        <f>IF(AND(G40&lt;=VLOOKUP(G13,C55:H71,5),G40&gt;=VLOOKUP(G13,C55:H71,4)),"OK","Fail")</f>
        <v>OK</v>
      </c>
      <c r="H41" s="44" t="str">
        <f>IF(AND(H40&lt;=VLOOKUP(G13,C55:H71,5),H40&gt;=VLOOKUP(G13,C55:H71,4)),"OK","Fail")</f>
        <v>OK</v>
      </c>
      <c r="I41" s="44" t="e">
        <f>IF(AND(I40&lt;=VLOOKUP(G13,B55:G111,5),I40&gt;=VLOOKUP(G13,C55:H71,4)),"OK","Fail")</f>
        <v>#N/A</v>
      </c>
      <c r="J41" s="44" t="e">
        <f>IF(AND(J40&lt;=VLOOKUP(G13,B55:G111,5),J40&gt;=VLOOKUP(G13,C55:H71,4)),"OK","Fail")</f>
        <v>#N/A</v>
      </c>
      <c r="L41" s="44" t="str">
        <f>IF(AND(L40&lt;=VLOOKUP(G13,C55:H71,5),L40&gt;=VLOOKUP(G13,C55:H71,4)),"OK","Fail")</f>
        <v>OK</v>
      </c>
      <c r="M41" s="44" t="str">
        <f>IF(AND(M40&lt;=VLOOKUP(G13,C55:H71,5),M40&gt;=VLOOKUP(G13,C55:H71,4)),"OK","Fail")</f>
        <v>OK</v>
      </c>
      <c r="N41" s="44" t="str">
        <f>IF(AND(N40&lt;=VLOOKUP(G13,C55:H71,5),N40&gt;=VLOOKUP(G13,C55:H71,4)),"OK","Fail")</f>
        <v>Fail</v>
      </c>
      <c r="O41" s="44" t="str">
        <f>IF(AND(O40&lt;=VLOOKUP(G13,C55:H71,5),O40&gt;=VLOOKUP(G13,C55:H71,4)),"OK","Fail")</f>
        <v>Fail</v>
      </c>
    </row>
    <row r="42" spans="1:21" s="9" customFormat="1" ht="13" customHeight="1">
      <c r="A42" s="107"/>
      <c r="B42" s="39"/>
      <c r="C42" s="80"/>
      <c r="D42" s="80"/>
      <c r="E42" s="80"/>
      <c r="F42" s="55"/>
      <c r="G42" s="100"/>
      <c r="H42" s="100"/>
      <c r="I42" s="100"/>
      <c r="J42" s="100"/>
      <c r="L42" s="74"/>
      <c r="M42" s="74"/>
      <c r="N42" s="74"/>
      <c r="O42" s="74"/>
    </row>
    <row r="43" spans="1:21" s="9" customFormat="1" ht="13" customHeight="1">
      <c r="A43" s="107"/>
      <c r="B43" s="17"/>
      <c r="C43" s="17"/>
      <c r="D43" s="17"/>
      <c r="E43" s="17"/>
      <c r="F43" s="17"/>
      <c r="G43" s="17"/>
      <c r="H43" s="17"/>
      <c r="I43" s="17"/>
      <c r="J43" s="17"/>
      <c r="L43" s="74"/>
      <c r="M43" s="74"/>
      <c r="N43" s="74"/>
      <c r="O43" s="74"/>
    </row>
    <row r="44" spans="1:21" ht="13" customHeight="1">
      <c r="A44" s="166" t="s">
        <v>66</v>
      </c>
      <c r="B44" s="135" t="s">
        <v>53</v>
      </c>
      <c r="C44" s="135"/>
      <c r="D44" s="135"/>
      <c r="E44" s="135"/>
      <c r="F44" s="136" t="str">
        <f>"Required speed " &amp; G13 &amp;" MPH, " &amp; G8&amp;" HP @ "&amp;G9&amp;" RPM :  " &amp; IF(G32="OK",TEXT(G10,"#.00") &amp;" / "&amp;G28,"") &amp; IF(H32="OK", ",  "&amp;TEXT(H10,"#.00")&amp;" / "&amp;H28,"") &amp; IF(I32="OK",",  "&amp;TEXT(I10,"#.00")&amp;" / "&amp;I28,"") &amp; IF(J32="OK",",  "&amp;TEXT(J10,"#.00")&amp;" / "&amp;J28,"")</f>
        <v>Required speed 40 MPH, 185 HP @ 4000 RPM :  .88 / 11x14,  1.00 / 12x16,  1.25 / 14x20</v>
      </c>
      <c r="G44" s="137"/>
      <c r="H44" s="137"/>
      <c r="I44" s="137"/>
      <c r="J44" s="137"/>
      <c r="K44" s="137"/>
      <c r="L44" s="137"/>
      <c r="M44" s="137"/>
      <c r="N44" s="137"/>
      <c r="O44" s="138"/>
      <c r="P44" s="97"/>
      <c r="Q44" s="97"/>
      <c r="R44" s="97"/>
      <c r="S44" s="97"/>
    </row>
    <row r="45" spans="1:21" s="9" customFormat="1" ht="13" customHeight="1">
      <c r="A45" s="166"/>
      <c r="B45" s="135"/>
      <c r="C45" s="135"/>
      <c r="D45" s="135"/>
      <c r="E45" s="135"/>
      <c r="F45" s="167" t="str">
        <f>"Required speed " &amp; L13 &amp; " MPH, " &amp; L8&amp;" HP @ "&amp;L9&amp;" RPM :  " &amp; IF(L32="OK",TEXT(L10,"#.00")&amp;" / "&amp;L28,"") &amp; IF(M32="OK",",  "&amp;TEXT(M10,"#.00")&amp;" / "&amp;M28,"") &amp; IF(N32="OK",",  "&amp;TEXT(N10,"#.00")&amp;" / "&amp;N28,"") &amp; IF(O32="OK",",  "&amp;TEXT(O10,"#.00")&amp;" / "&amp;O28,"")</f>
        <v>Required speed 50 MPH, 325 HP @ 5200 RPM :  .88 / 11x13,  1.00 / 12x15,  1.25 / 13x18</v>
      </c>
      <c r="G45" s="168"/>
      <c r="H45" s="168"/>
      <c r="I45" s="168"/>
      <c r="J45" s="168"/>
      <c r="K45" s="168"/>
      <c r="L45" s="168"/>
      <c r="M45" s="168"/>
      <c r="N45" s="168"/>
      <c r="O45" s="169"/>
      <c r="P45" s="98"/>
      <c r="Q45" s="98"/>
      <c r="R45" s="98"/>
      <c r="S45" s="98"/>
    </row>
    <row r="46" spans="1:21" s="9" customFormat="1" ht="13">
      <c r="A46" s="107"/>
      <c r="C46" s="4"/>
      <c r="D46" s="3"/>
      <c r="E46" s="7"/>
      <c r="P46" s="99"/>
      <c r="Q46" s="99"/>
      <c r="R46" s="99"/>
      <c r="S46" s="99"/>
      <c r="U46" s="92"/>
    </row>
    <row r="47" spans="1:21" s="9" customFormat="1" ht="13">
      <c r="A47" s="107"/>
      <c r="C47" s="4"/>
      <c r="D47" s="3"/>
      <c r="E47" s="7"/>
      <c r="P47" s="99"/>
      <c r="Q47" s="99"/>
      <c r="R47" s="99"/>
      <c r="S47" s="99"/>
      <c r="U47" s="92"/>
    </row>
    <row r="48" spans="1:21" s="9" customFormat="1" ht="13">
      <c r="A48" s="107"/>
      <c r="C48" s="4"/>
      <c r="D48" s="3"/>
      <c r="E48" s="7"/>
      <c r="P48" s="99"/>
      <c r="Q48" s="99"/>
      <c r="R48" s="99"/>
      <c r="S48" s="99"/>
      <c r="U48" s="92"/>
    </row>
    <row r="49" spans="1:21" s="9" customFormat="1" ht="13" customHeight="1">
      <c r="A49" s="107" t="s">
        <v>67</v>
      </c>
      <c r="B49" s="117" t="s">
        <v>54</v>
      </c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30"/>
      <c r="Q49" s="30"/>
      <c r="R49" s="30"/>
      <c r="S49" s="30"/>
      <c r="T49" s="30"/>
    </row>
    <row r="50" spans="1:21" ht="13">
      <c r="C50" s="4"/>
      <c r="D50" s="3"/>
      <c r="E50" s="7"/>
      <c r="P50" s="99"/>
      <c r="Q50" s="99"/>
      <c r="R50" s="99"/>
      <c r="S50" s="99"/>
      <c r="U50" s="92"/>
    </row>
    <row r="51" spans="1:21" ht="12.5" customHeight="1">
      <c r="A51" s="9"/>
      <c r="B51" s="107"/>
      <c r="C51" s="148" t="s">
        <v>86</v>
      </c>
      <c r="D51" s="149"/>
      <c r="E51" s="150"/>
      <c r="F51" s="154" t="s">
        <v>87</v>
      </c>
      <c r="G51" s="154"/>
      <c r="H51" s="154"/>
      <c r="I51" s="64"/>
      <c r="J51" s="148" t="s">
        <v>85</v>
      </c>
      <c r="K51" s="149"/>
      <c r="L51" s="150"/>
      <c r="M51" s="154" t="s">
        <v>87</v>
      </c>
      <c r="N51" s="154"/>
      <c r="O51" s="154"/>
    </row>
    <row r="52" spans="1:21" ht="12.5" customHeight="1">
      <c r="A52" s="9"/>
      <c r="B52" s="107"/>
      <c r="C52" s="151"/>
      <c r="D52" s="152"/>
      <c r="E52" s="153"/>
      <c r="F52" s="154"/>
      <c r="G52" s="154"/>
      <c r="H52" s="154"/>
      <c r="I52" s="64"/>
      <c r="J52" s="151"/>
      <c r="K52" s="152"/>
      <c r="L52" s="153"/>
      <c r="M52" s="154"/>
      <c r="N52" s="154"/>
      <c r="O52" s="154"/>
    </row>
    <row r="53" spans="1:21" ht="15" customHeight="1">
      <c r="A53" s="9"/>
      <c r="B53" s="107"/>
      <c r="C53" s="151"/>
      <c r="D53" s="152"/>
      <c r="E53" s="153"/>
      <c r="F53" s="154"/>
      <c r="G53" s="154"/>
      <c r="H53" s="154"/>
      <c r="I53" s="64"/>
      <c r="J53" s="151"/>
      <c r="K53" s="152"/>
      <c r="L53" s="153"/>
      <c r="M53" s="154"/>
      <c r="N53" s="154"/>
      <c r="O53" s="154"/>
    </row>
    <row r="54" spans="1:21" ht="13">
      <c r="A54" s="9"/>
      <c r="B54" s="107"/>
      <c r="C54" s="73" t="s">
        <v>1</v>
      </c>
      <c r="D54" s="73" t="s">
        <v>6</v>
      </c>
      <c r="E54" s="73" t="s">
        <v>3</v>
      </c>
      <c r="F54" s="73" t="s">
        <v>45</v>
      </c>
      <c r="G54" s="73" t="s">
        <v>46</v>
      </c>
      <c r="H54" s="73" t="s">
        <v>47</v>
      </c>
      <c r="I54" s="15"/>
      <c r="J54" s="108" t="s">
        <v>1</v>
      </c>
      <c r="K54" s="108" t="s">
        <v>6</v>
      </c>
      <c r="L54" s="108" t="s">
        <v>3</v>
      </c>
      <c r="M54" s="108" t="s">
        <v>45</v>
      </c>
      <c r="N54" s="108" t="s">
        <v>46</v>
      </c>
      <c r="O54" s="108" t="s">
        <v>47</v>
      </c>
    </row>
    <row r="55" spans="1:21" s="9" customFormat="1">
      <c r="B55" s="107"/>
      <c r="C55" s="113">
        <v>10</v>
      </c>
      <c r="D55" s="6">
        <f>C55*0.868976241900648</f>
        <v>8.6897624190064811</v>
      </c>
      <c r="E55" s="8">
        <f>POWER(D55/G11,2)*G12</f>
        <v>10.739480305603893</v>
      </c>
      <c r="F55" s="43">
        <f>0.39*POWER(D55,0.23)</f>
        <v>0.64126335768569709</v>
      </c>
      <c r="G55" s="43">
        <f>0.52*POWER(D55,0.28)</f>
        <v>0.95263285671029441</v>
      </c>
      <c r="H55" s="43">
        <f>0.46*POWER(D55,0.26)</f>
        <v>0.80704896785366809</v>
      </c>
      <c r="I55" s="46"/>
      <c r="J55" s="6">
        <v>10</v>
      </c>
      <c r="K55" s="6">
        <f>J55*0.868976241900648</f>
        <v>8.6897624190064811</v>
      </c>
      <c r="L55" s="8">
        <f>POWER(K55/L11,2)*L12</f>
        <v>11.410697824704137</v>
      </c>
      <c r="M55" s="43">
        <f>0.39*POWER(K55,0.23)</f>
        <v>0.64126335768569709</v>
      </c>
      <c r="N55" s="43">
        <f>0.52*POWER(K55,0.28)</f>
        <v>0.95263285671029441</v>
      </c>
      <c r="O55" s="43">
        <f>0.46*POWER(K55,0.26)</f>
        <v>0.80704896785366809</v>
      </c>
    </row>
    <row r="56" spans="1:21" s="9" customFormat="1">
      <c r="B56" s="107"/>
      <c r="C56" s="113">
        <v>15</v>
      </c>
      <c r="D56" s="6">
        <f>C56*0.868976241900648</f>
        <v>13.03464362850972</v>
      </c>
      <c r="E56" s="8">
        <f>POWER(D56/G11,2)*G12</f>
        <v>24.163830687608755</v>
      </c>
      <c r="F56" s="43">
        <f t="shared" ref="F56:F65" si="0">0.39*POWER(D56,0.23)</f>
        <v>0.70394286967257425</v>
      </c>
      <c r="G56" s="43">
        <f t="shared" ref="G56:G65" si="1">0.52*POWER(D56,0.28)</f>
        <v>1.0671638593435373</v>
      </c>
      <c r="H56" s="43">
        <f t="shared" ref="H56:H65" si="2">0.46*POWER(D56,0.26)</f>
        <v>0.89677525014675963</v>
      </c>
      <c r="I56" s="46"/>
      <c r="J56" s="6">
        <v>15</v>
      </c>
      <c r="K56" s="6">
        <f>J56*0.868976241900648</f>
        <v>13.03464362850972</v>
      </c>
      <c r="L56" s="8">
        <f>POWER(K56/L11,2)*L12</f>
        <v>25.674070105584299</v>
      </c>
      <c r="M56" s="43">
        <f t="shared" ref="M56:M66" si="3">0.39*POWER(K56,0.23)</f>
        <v>0.70394286967257425</v>
      </c>
      <c r="N56" s="43">
        <f t="shared" ref="N56:N71" si="4">0.52*POWER(K56,0.28)</f>
        <v>1.0671638593435373</v>
      </c>
      <c r="O56" s="43">
        <f t="shared" ref="O56:O71" si="5">0.46*POWER(K56,0.26)</f>
        <v>0.89677525014675963</v>
      </c>
    </row>
    <row r="57" spans="1:21" s="9" customFormat="1">
      <c r="B57" s="107"/>
      <c r="C57" s="113">
        <v>20</v>
      </c>
      <c r="D57" s="6">
        <f>C57*0.868976241900648</f>
        <v>17.379524838012962</v>
      </c>
      <c r="E57" s="8">
        <f>POWER(D57/G11,2)*G12</f>
        <v>42.957921222415571</v>
      </c>
      <c r="F57" s="43">
        <f t="shared" si="0"/>
        <v>0.75209607755556873</v>
      </c>
      <c r="G57" s="43">
        <f t="shared" si="1"/>
        <v>1.156681941324279</v>
      </c>
      <c r="H57" s="43">
        <f t="shared" si="2"/>
        <v>0.96642395258945379</v>
      </c>
      <c r="I57" s="46"/>
      <c r="J57" s="6">
        <v>20</v>
      </c>
      <c r="K57" s="6">
        <f>J57*0.868976241900648</f>
        <v>17.379524838012962</v>
      </c>
      <c r="L57" s="8">
        <f>POWER(K57/L11,2)*L12</f>
        <v>45.642791298816547</v>
      </c>
      <c r="M57" s="43">
        <f t="shared" si="3"/>
        <v>0.75209607755556873</v>
      </c>
      <c r="N57" s="43">
        <f t="shared" si="4"/>
        <v>1.156681941324279</v>
      </c>
      <c r="O57" s="43">
        <f t="shared" si="5"/>
        <v>0.96642395258945379</v>
      </c>
    </row>
    <row r="58" spans="1:21" s="9" customFormat="1">
      <c r="B58" s="107"/>
      <c r="C58" s="113">
        <v>25</v>
      </c>
      <c r="D58" s="6">
        <f>C58*0.868976241900648</f>
        <v>21.724406047516201</v>
      </c>
      <c r="E58" s="8">
        <f>POWER(D58/G11,2)*G12</f>
        <v>67.121751910024315</v>
      </c>
      <c r="F58" s="43">
        <f t="shared" si="0"/>
        <v>0.7917036126308481</v>
      </c>
      <c r="G58" s="43">
        <f t="shared" si="1"/>
        <v>1.2312571312028935</v>
      </c>
      <c r="H58" s="43">
        <f t="shared" si="2"/>
        <v>1.0241516963487629</v>
      </c>
      <c r="I58" s="46"/>
      <c r="J58" s="6">
        <v>25</v>
      </c>
      <c r="K58" s="6">
        <f>J58*0.868976241900648</f>
        <v>21.724406047516201</v>
      </c>
      <c r="L58" s="8">
        <f>POWER(K58/L11,2)*L12</f>
        <v>71.316861404400839</v>
      </c>
      <c r="M58" s="43">
        <f t="shared" si="3"/>
        <v>0.7917036126308481</v>
      </c>
      <c r="N58" s="43">
        <f t="shared" si="4"/>
        <v>1.2312571312028935</v>
      </c>
      <c r="O58" s="43">
        <f t="shared" si="5"/>
        <v>1.0241516963487629</v>
      </c>
    </row>
    <row r="59" spans="1:21">
      <c r="A59" s="9"/>
      <c r="B59" s="107"/>
      <c r="C59" s="113">
        <v>30</v>
      </c>
      <c r="D59" s="6">
        <f>C59*0.868976241900648</f>
        <v>26.06928725701944</v>
      </c>
      <c r="E59" s="8">
        <f>POWER(D59/G11,2)*G12</f>
        <v>96.655322750435019</v>
      </c>
      <c r="F59" s="43">
        <f t="shared" si="0"/>
        <v>0.82560879981457658</v>
      </c>
      <c r="G59" s="43">
        <f t="shared" si="1"/>
        <v>1.2957448988261984</v>
      </c>
      <c r="H59" s="43">
        <f t="shared" si="2"/>
        <v>1.0738692648800576</v>
      </c>
      <c r="I59" s="46"/>
      <c r="J59" s="6">
        <v>30</v>
      </c>
      <c r="K59" s="6">
        <f>J59*0.868976241900648</f>
        <v>26.06928725701944</v>
      </c>
      <c r="L59" s="8">
        <f>POWER(K59/L11,2)*L12</f>
        <v>102.6962804223372</v>
      </c>
      <c r="M59" s="43">
        <f t="shared" si="3"/>
        <v>0.82560879981457658</v>
      </c>
      <c r="N59" s="43">
        <f t="shared" si="4"/>
        <v>1.2957448988261984</v>
      </c>
      <c r="O59" s="43">
        <f t="shared" si="5"/>
        <v>1.0738692648800576</v>
      </c>
    </row>
    <row r="60" spans="1:21">
      <c r="A60" s="9"/>
      <c r="B60" s="107"/>
      <c r="C60" s="113">
        <v>35</v>
      </c>
      <c r="D60" s="6">
        <f t="shared" ref="D60:D65" si="6">C60*0.868976241900648</f>
        <v>30.414168466522682</v>
      </c>
      <c r="E60" s="8">
        <f>POWER(D60/G11,2)*G12</f>
        <v>131.55863374364768</v>
      </c>
      <c r="F60" s="43">
        <f t="shared" si="0"/>
        <v>0.85540557203223833</v>
      </c>
      <c r="G60" s="43">
        <f t="shared" si="1"/>
        <v>1.3528966109275991</v>
      </c>
      <c r="H60" s="43">
        <f t="shared" si="2"/>
        <v>1.1177831999043073</v>
      </c>
      <c r="I60" s="46"/>
      <c r="J60" s="6">
        <v>35</v>
      </c>
      <c r="K60" s="6">
        <f t="shared" ref="K60" si="7">J60*0.868976241900648</f>
        <v>30.414168466522682</v>
      </c>
      <c r="L60" s="8">
        <f>POWER(K60/L11,2)*L12</f>
        <v>139.78104835262565</v>
      </c>
      <c r="M60" s="43">
        <f t="shared" si="3"/>
        <v>0.85540557203223833</v>
      </c>
      <c r="N60" s="43">
        <f t="shared" si="4"/>
        <v>1.3528966109275991</v>
      </c>
      <c r="O60" s="43">
        <f t="shared" si="5"/>
        <v>1.1177831999043073</v>
      </c>
    </row>
    <row r="61" spans="1:21">
      <c r="A61" s="9"/>
      <c r="B61" s="107"/>
      <c r="C61" s="114">
        <v>40</v>
      </c>
      <c r="D61" s="21">
        <f>C61*0.868976241900648</f>
        <v>34.759049676025924</v>
      </c>
      <c r="E61" s="8">
        <f>POWER(D61/G11,2)*G12</f>
        <v>171.83168488966228</v>
      </c>
      <c r="F61" s="43">
        <f t="shared" si="0"/>
        <v>0.88208456493738063</v>
      </c>
      <c r="G61" s="43">
        <f t="shared" si="1"/>
        <v>1.4044372960280718</v>
      </c>
      <c r="H61" s="43">
        <f t="shared" si="2"/>
        <v>1.1572721028595241</v>
      </c>
      <c r="I61" s="46"/>
      <c r="J61" s="21">
        <v>40</v>
      </c>
      <c r="K61" s="21">
        <f>J61*0.868976241900648</f>
        <v>34.759049676025924</v>
      </c>
      <c r="L61" s="8">
        <f>POWER(K61/L11,2)*L12</f>
        <v>182.57116519526619</v>
      </c>
      <c r="M61" s="43">
        <f t="shared" si="3"/>
        <v>0.88208456493738063</v>
      </c>
      <c r="N61" s="43">
        <f t="shared" si="4"/>
        <v>1.4044372960280718</v>
      </c>
      <c r="O61" s="43">
        <f t="shared" si="5"/>
        <v>1.1572721028595241</v>
      </c>
    </row>
    <row r="62" spans="1:21">
      <c r="A62" s="9"/>
      <c r="B62" s="107"/>
      <c r="C62" s="114">
        <v>45</v>
      </c>
      <c r="D62" s="21">
        <f t="shared" si="6"/>
        <v>39.103930885529159</v>
      </c>
      <c r="E62" s="8">
        <f>POWER(D62/G11,2)*G12</f>
        <v>217.47447618847877</v>
      </c>
      <c r="F62" s="43">
        <f t="shared" si="0"/>
        <v>0.90630693427716147</v>
      </c>
      <c r="G62" s="43">
        <f t="shared" si="1"/>
        <v>1.4515268051231855</v>
      </c>
      <c r="H62" s="43">
        <f t="shared" si="2"/>
        <v>1.1932601576814637</v>
      </c>
      <c r="I62" s="46"/>
      <c r="J62" s="21">
        <v>45</v>
      </c>
      <c r="K62" s="21">
        <f t="shared" ref="K62:K71" si="8">J62*0.868976241900648</f>
        <v>39.103930885529159</v>
      </c>
      <c r="L62" s="8">
        <f>POWER(K62/L11,2)*L12</f>
        <v>231.06663095025868</v>
      </c>
      <c r="M62" s="43">
        <f t="shared" si="3"/>
        <v>0.90630693427716147</v>
      </c>
      <c r="N62" s="43">
        <f t="shared" si="4"/>
        <v>1.4515268051231855</v>
      </c>
      <c r="O62" s="43">
        <f t="shared" si="5"/>
        <v>1.1932601576814637</v>
      </c>
    </row>
    <row r="63" spans="1:21">
      <c r="A63" s="9"/>
      <c r="B63" s="107"/>
      <c r="C63" s="114">
        <v>50</v>
      </c>
      <c r="D63" s="21">
        <f t="shared" si="6"/>
        <v>43.448812095032402</v>
      </c>
      <c r="E63" s="8">
        <f>POWER(D63/G11,2)*G12</f>
        <v>268.48700764009726</v>
      </c>
      <c r="F63" s="43">
        <f t="shared" si="0"/>
        <v>0.92853766632659573</v>
      </c>
      <c r="G63" s="43">
        <f t="shared" si="1"/>
        <v>1.4949861100814745</v>
      </c>
      <c r="H63" s="43">
        <f t="shared" si="2"/>
        <v>1.2263998466769948</v>
      </c>
      <c r="I63" s="46"/>
      <c r="J63" s="21">
        <v>50</v>
      </c>
      <c r="K63" s="21">
        <f t="shared" si="8"/>
        <v>43.448812095032402</v>
      </c>
      <c r="L63" s="8">
        <f>POWER(K63/L11,2)*L12</f>
        <v>285.26744561760336</v>
      </c>
      <c r="M63" s="43">
        <f t="shared" si="3"/>
        <v>0.92853766632659573</v>
      </c>
      <c r="N63" s="43">
        <f t="shared" si="4"/>
        <v>1.4949861100814745</v>
      </c>
      <c r="O63" s="43">
        <f t="shared" si="5"/>
        <v>1.2263998466769948</v>
      </c>
    </row>
    <row r="64" spans="1:21">
      <c r="A64" s="9"/>
      <c r="B64" s="107"/>
      <c r="C64" s="113">
        <v>55</v>
      </c>
      <c r="D64" s="6">
        <f t="shared" si="6"/>
        <v>47.793693304535644</v>
      </c>
      <c r="E64" s="8">
        <f>POWER(D64/G11,2)*G12</f>
        <v>324.86927924451771</v>
      </c>
      <c r="F64" s="43">
        <f t="shared" si="0"/>
        <v>0.9491171988399788</v>
      </c>
      <c r="G64" s="43">
        <f t="shared" si="1"/>
        <v>1.5354197036346264</v>
      </c>
      <c r="H64" s="43">
        <f t="shared" si="2"/>
        <v>1.2571705119209446</v>
      </c>
      <c r="I64" s="46"/>
      <c r="J64" s="6">
        <v>55</v>
      </c>
      <c r="K64" s="6">
        <f t="shared" si="8"/>
        <v>47.793693304535644</v>
      </c>
      <c r="L64" s="8">
        <f>POWER(K64/L11,2)*L12</f>
        <v>345.1736091973001</v>
      </c>
      <c r="M64" s="43">
        <f t="shared" si="3"/>
        <v>0.9491171988399788</v>
      </c>
      <c r="N64" s="43">
        <f t="shared" si="4"/>
        <v>1.5354197036346264</v>
      </c>
      <c r="O64" s="43">
        <f t="shared" si="5"/>
        <v>1.2571705119209446</v>
      </c>
    </row>
    <row r="65" spans="1:15">
      <c r="A65" s="9"/>
      <c r="B65" s="107"/>
      <c r="C65" s="113">
        <v>60</v>
      </c>
      <c r="D65" s="6">
        <f t="shared" si="6"/>
        <v>52.138574514038879</v>
      </c>
      <c r="E65" s="8">
        <f>POWER(D65/G11,2)*G12</f>
        <v>386.62129100174008</v>
      </c>
      <c r="F65" s="43">
        <f t="shared" si="0"/>
        <v>0.96830285481592149</v>
      </c>
      <c r="G65" s="43">
        <f t="shared" si="1"/>
        <v>1.5732868276357477</v>
      </c>
      <c r="H65" s="43">
        <f t="shared" si="2"/>
        <v>1.2859355762386526</v>
      </c>
      <c r="I65" s="46"/>
      <c r="J65" s="6">
        <v>60</v>
      </c>
      <c r="K65" s="6">
        <f t="shared" si="8"/>
        <v>52.138574514038879</v>
      </c>
      <c r="L65" s="8">
        <f>POWER(K65/L11,2)*L12</f>
        <v>410.78512168934878</v>
      </c>
      <c r="M65" s="43">
        <f t="shared" si="3"/>
        <v>0.96830285481592149</v>
      </c>
      <c r="N65" s="43">
        <f t="shared" si="4"/>
        <v>1.5732868276357477</v>
      </c>
      <c r="O65" s="43">
        <f t="shared" si="5"/>
        <v>1.2859355762386526</v>
      </c>
    </row>
    <row r="66" spans="1:15" s="9" customFormat="1">
      <c r="B66" s="107"/>
      <c r="C66" s="113">
        <v>65</v>
      </c>
      <c r="D66" s="6">
        <f t="shared" ref="D66" si="9">C66*0.868976241900648</f>
        <v>56.483455723542122</v>
      </c>
      <c r="E66" s="8">
        <f>POWER(D66/G11,2)*G12</f>
        <v>453.74304291176441</v>
      </c>
      <c r="F66" s="43">
        <f t="shared" ref="F66" si="10">0.39*POWER(D66,0.23)</f>
        <v>0.98629423972339225</v>
      </c>
      <c r="G66" s="43">
        <f t="shared" ref="G66" si="11">0.52*POWER(D66,0.28)</f>
        <v>1.6089453623846037</v>
      </c>
      <c r="H66" s="43">
        <f t="shared" ref="H66" si="12">0.46*POWER(D66,0.26)</f>
        <v>1.3129777277667378</v>
      </c>
      <c r="I66" s="46"/>
      <c r="J66" s="6">
        <v>65</v>
      </c>
      <c r="K66" s="6">
        <f t="shared" si="8"/>
        <v>56.483455723542122</v>
      </c>
      <c r="L66" s="8">
        <f>POWER(K66/L11,2)*L12</f>
        <v>482.10198309374971</v>
      </c>
      <c r="M66" s="43">
        <f t="shared" si="3"/>
        <v>0.98629423972339225</v>
      </c>
      <c r="N66" s="43">
        <f t="shared" si="4"/>
        <v>1.6089453623846037</v>
      </c>
      <c r="O66" s="43">
        <f t="shared" si="5"/>
        <v>1.3129777277667378</v>
      </c>
    </row>
    <row r="67" spans="1:15" s="9" customFormat="1">
      <c r="B67" s="107"/>
      <c r="C67" s="113">
        <v>70</v>
      </c>
      <c r="D67" s="6">
        <f t="shared" ref="D67" si="13">C67*0.868976241900648</f>
        <v>60.828336933045364</v>
      </c>
      <c r="E67" s="8">
        <f>POWER(D67/G11,2)*G12</f>
        <v>526.2345349745907</v>
      </c>
      <c r="F67" s="43">
        <f>0.39*POWER(D67,0.23)</f>
        <v>1.0032495506470962</v>
      </c>
      <c r="G67" s="43">
        <f t="shared" ref="G67" si="14">0.52*POWER(D67,0.28)</f>
        <v>1.6426801441036867</v>
      </c>
      <c r="H67" s="43">
        <f t="shared" ref="H67" si="15">0.46*POWER(D67,0.26)</f>
        <v>1.3385215782662105</v>
      </c>
      <c r="I67" s="46"/>
      <c r="J67" s="6">
        <v>70</v>
      </c>
      <c r="K67" s="6">
        <f t="shared" si="8"/>
        <v>60.828336933045364</v>
      </c>
      <c r="L67" s="8">
        <f>POWER(K67/L11,2)*L12</f>
        <v>559.12419341050258</v>
      </c>
      <c r="M67" s="43">
        <f>0.39*POWER(K67,0.23)</f>
        <v>1.0032495506470962</v>
      </c>
      <c r="N67" s="43">
        <f t="shared" si="4"/>
        <v>1.6426801441036867</v>
      </c>
      <c r="O67" s="43">
        <f t="shared" si="5"/>
        <v>1.3385215782662105</v>
      </c>
    </row>
    <row r="68" spans="1:15" s="9" customFormat="1">
      <c r="B68" s="107" t="s">
        <v>73</v>
      </c>
      <c r="C68" s="113">
        <v>75</v>
      </c>
      <c r="D68" s="6">
        <f t="shared" ref="D68" si="16">C68*0.868976241900648</f>
        <v>65.173218142548606</v>
      </c>
      <c r="E68" s="8">
        <f>POWER(D68/G11,2)*G12</f>
        <v>604.09576719021891</v>
      </c>
      <c r="F68" s="43">
        <f t="shared" ref="F68" si="17">0.39*POWER(D68,0.23)</f>
        <v>1.0192964584659567</v>
      </c>
      <c r="G68" s="43">
        <f t="shared" ref="G68" si="18">0.52*POWER(D68,0.28)</f>
        <v>1.6747219410517404</v>
      </c>
      <c r="H68" s="43">
        <f t="shared" ref="H68" si="19">0.46*POWER(D68,0.26)</f>
        <v>1.3627488208164387</v>
      </c>
      <c r="I68" s="46"/>
      <c r="J68" s="6">
        <v>75</v>
      </c>
      <c r="K68" s="6">
        <f t="shared" si="8"/>
        <v>65.173218142548606</v>
      </c>
      <c r="L68" s="8">
        <f>POWER(K68/L11,2)*L12</f>
        <v>641.85175263960753</v>
      </c>
      <c r="M68" s="43">
        <f t="shared" ref="M68:M71" si="20">0.39*POWER(K68,0.23)</f>
        <v>1.0192964584659567</v>
      </c>
      <c r="N68" s="43">
        <f t="shared" si="4"/>
        <v>1.6747219410517404</v>
      </c>
      <c r="O68" s="43">
        <f t="shared" si="5"/>
        <v>1.3627488208164387</v>
      </c>
    </row>
    <row r="69" spans="1:15" s="9" customFormat="1">
      <c r="B69" s="107"/>
      <c r="C69" s="113">
        <v>80</v>
      </c>
      <c r="D69" s="6">
        <f t="shared" ref="D69" si="21">C69*0.868976241900648</f>
        <v>69.518099352051848</v>
      </c>
      <c r="E69" s="8">
        <f>POWER(D69/G11,2)*G12</f>
        <v>687.32673955864914</v>
      </c>
      <c r="F69" s="43">
        <f t="shared" ref="F69" si="22">0.39*POWER(D69,0.23)</f>
        <v>1.0345396059365566</v>
      </c>
      <c r="G69" s="43">
        <f t="shared" ref="G69" si="23">0.52*POWER(D69,0.28)</f>
        <v>1.7052605802908964</v>
      </c>
      <c r="H69" s="43">
        <f t="shared" ref="H69" si="24">0.46*POWER(D69,0.26)</f>
        <v>1.3858086986238465</v>
      </c>
      <c r="I69" s="46"/>
      <c r="J69" s="6">
        <v>80</v>
      </c>
      <c r="K69" s="6">
        <f t="shared" si="8"/>
        <v>69.518099352051848</v>
      </c>
      <c r="L69" s="8">
        <f>POWER(K69/L11,2)*L12</f>
        <v>730.28466078106476</v>
      </c>
      <c r="M69" s="43">
        <f t="shared" si="20"/>
        <v>1.0345396059365566</v>
      </c>
      <c r="N69" s="43">
        <f t="shared" si="4"/>
        <v>1.7052605802908964</v>
      </c>
      <c r="O69" s="43">
        <f t="shared" si="5"/>
        <v>1.3858086986238465</v>
      </c>
    </row>
    <row r="70" spans="1:15" s="9" customFormat="1">
      <c r="B70" s="107"/>
      <c r="C70" s="113">
        <v>85</v>
      </c>
      <c r="D70" s="6">
        <f t="shared" ref="D70" si="25">C70*0.868976241900648</f>
        <v>73.862980561555077</v>
      </c>
      <c r="E70" s="8">
        <f>POWER(D70/G11,2)*G12</f>
        <v>775.92745207988094</v>
      </c>
      <c r="F70" s="43">
        <f t="shared" ref="F70" si="26">0.39*POWER(D70,0.23)</f>
        <v>1.0490659172183481</v>
      </c>
      <c r="G70" s="43">
        <f t="shared" ref="G70" si="27">0.52*POWER(D70,0.28)</f>
        <v>1.7344542770211742</v>
      </c>
      <c r="H70" s="43">
        <f t="shared" ref="H70" si="28">0.46*POWER(D70,0.26)</f>
        <v>1.4078254344469163</v>
      </c>
      <c r="I70" s="46"/>
      <c r="J70" s="6">
        <v>85</v>
      </c>
      <c r="K70" s="6">
        <f t="shared" si="8"/>
        <v>73.862980561555077</v>
      </c>
      <c r="L70" s="8">
        <f>POWER(K70/L11,2)*L12</f>
        <v>824.42291783487349</v>
      </c>
      <c r="M70" s="43">
        <f t="shared" si="20"/>
        <v>1.0490659172183481</v>
      </c>
      <c r="N70" s="43">
        <f t="shared" si="4"/>
        <v>1.7344542770211742</v>
      </c>
      <c r="O70" s="43">
        <f t="shared" si="5"/>
        <v>1.4078254344469163</v>
      </c>
    </row>
    <row r="71" spans="1:15" s="9" customFormat="1">
      <c r="B71" s="107"/>
      <c r="C71" s="113">
        <v>90</v>
      </c>
      <c r="D71" s="6">
        <f t="shared" ref="D71" si="29">C71*0.868976241900648</f>
        <v>78.207861771058319</v>
      </c>
      <c r="E71" s="8">
        <f>POWER(D71/G11,2)*G12</f>
        <v>869.8979047539151</v>
      </c>
      <c r="F71" s="43">
        <f t="shared" ref="F71" si="30">0.39*POWER(D71,0.23)</f>
        <v>1.0629484472514545</v>
      </c>
      <c r="G71" s="43">
        <f t="shared" ref="G71" si="31">0.52*POWER(D71,0.28)</f>
        <v>1.7624364213428585</v>
      </c>
      <c r="H71" s="43">
        <f t="shared" ref="H71" si="32">0.46*POWER(D71,0.26)</f>
        <v>1.4289036278937779</v>
      </c>
      <c r="I71" s="46"/>
      <c r="J71" s="6">
        <v>90</v>
      </c>
      <c r="K71" s="6">
        <f t="shared" si="8"/>
        <v>78.207861771058319</v>
      </c>
      <c r="L71" s="8">
        <f>POWER(K71/L11,2)*L12</f>
        <v>924.26652380103474</v>
      </c>
      <c r="M71" s="43">
        <f t="shared" si="20"/>
        <v>1.0629484472514545</v>
      </c>
      <c r="N71" s="43">
        <f t="shared" si="4"/>
        <v>1.7624364213428585</v>
      </c>
      <c r="O71" s="43">
        <f t="shared" si="5"/>
        <v>1.4289036278937779</v>
      </c>
    </row>
    <row r="72" spans="1:15" s="9" customFormat="1">
      <c r="A72" s="107"/>
      <c r="B72" s="65"/>
      <c r="C72" s="65"/>
      <c r="D72" s="32"/>
      <c r="E72" s="61"/>
      <c r="F72" s="61"/>
      <c r="G72" s="61"/>
      <c r="H72" s="46"/>
    </row>
    <row r="73" spans="1:15" s="9" customFormat="1">
      <c r="A73" s="107"/>
    </row>
    <row r="74" spans="1:15" s="9" customFormat="1">
      <c r="A74" s="107"/>
    </row>
    <row r="75" spans="1:15" s="9" customFormat="1" ht="13">
      <c r="A75" s="107" t="s">
        <v>74</v>
      </c>
      <c r="C75" s="161" t="s">
        <v>71</v>
      </c>
      <c r="D75" s="162"/>
      <c r="E75" s="162"/>
      <c r="F75" s="162"/>
      <c r="G75" s="163"/>
      <c r="I75" s="105" t="s">
        <v>58</v>
      </c>
      <c r="J75" s="105" t="s">
        <v>59</v>
      </c>
      <c r="K75" s="161" t="s">
        <v>64</v>
      </c>
      <c r="L75" s="162"/>
      <c r="M75" s="163"/>
    </row>
    <row r="76" spans="1:15" s="9" customFormat="1" ht="12.5" customHeight="1">
      <c r="A76" s="110"/>
      <c r="C76" s="2">
        <v>150</v>
      </c>
      <c r="D76" s="158" t="s">
        <v>9</v>
      </c>
      <c r="E76" s="159"/>
      <c r="F76" s="159"/>
      <c r="G76" s="160"/>
      <c r="I76" s="103">
        <v>0.55000000000000004</v>
      </c>
      <c r="J76" s="103">
        <v>0.8</v>
      </c>
      <c r="K76" s="155" t="s">
        <v>60</v>
      </c>
      <c r="L76" s="156"/>
      <c r="M76" s="157"/>
    </row>
    <row r="77" spans="1:15" s="9" customFormat="1">
      <c r="A77" s="110"/>
      <c r="C77" s="2">
        <v>190</v>
      </c>
      <c r="D77" s="158" t="s">
        <v>10</v>
      </c>
      <c r="E77" s="159"/>
      <c r="F77" s="159"/>
      <c r="G77" s="160"/>
      <c r="I77" s="103">
        <v>0.65</v>
      </c>
      <c r="J77" s="104">
        <v>1</v>
      </c>
      <c r="K77" s="158" t="s">
        <v>61</v>
      </c>
      <c r="L77" s="159"/>
      <c r="M77" s="160"/>
    </row>
    <row r="78" spans="1:15" s="9" customFormat="1">
      <c r="A78" s="110"/>
      <c r="C78" s="2">
        <v>210</v>
      </c>
      <c r="D78" s="158" t="s">
        <v>11</v>
      </c>
      <c r="E78" s="159"/>
      <c r="F78" s="159"/>
      <c r="G78" s="160"/>
      <c r="I78" s="103">
        <v>0.8</v>
      </c>
      <c r="J78" s="104">
        <v>1.2</v>
      </c>
      <c r="K78" s="158" t="s">
        <v>62</v>
      </c>
      <c r="L78" s="159"/>
      <c r="M78" s="160"/>
    </row>
    <row r="79" spans="1:15" s="9" customFormat="1">
      <c r="A79" s="110"/>
      <c r="C79" s="2">
        <v>220</v>
      </c>
      <c r="D79" s="158" t="s">
        <v>12</v>
      </c>
      <c r="E79" s="159"/>
      <c r="F79" s="159"/>
      <c r="G79" s="160"/>
      <c r="I79" s="103">
        <v>0.9</v>
      </c>
      <c r="J79" s="104">
        <v>1.5</v>
      </c>
      <c r="K79" s="158" t="s">
        <v>63</v>
      </c>
      <c r="L79" s="159"/>
      <c r="M79" s="160"/>
    </row>
    <row r="80" spans="1:15" s="9" customFormat="1">
      <c r="A80" s="110"/>
      <c r="C80" s="2">
        <v>230</v>
      </c>
      <c r="D80" s="158" t="s">
        <v>13</v>
      </c>
      <c r="E80" s="159"/>
      <c r="F80" s="159"/>
      <c r="G80" s="160"/>
    </row>
    <row r="81" spans="1:20" s="9" customFormat="1">
      <c r="A81" s="110"/>
      <c r="C81" s="3"/>
      <c r="D81" s="109"/>
      <c r="E81" s="109"/>
      <c r="F81" s="109"/>
      <c r="G81" s="109"/>
    </row>
    <row r="82" spans="1:20" s="9" customFormat="1">
      <c r="A82" s="107"/>
    </row>
    <row r="83" spans="1:20" s="9" customFormat="1" ht="13" customHeight="1">
      <c r="A83" s="107" t="s">
        <v>75</v>
      </c>
      <c r="B83" s="117" t="s">
        <v>69</v>
      </c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30"/>
      <c r="Q83" s="30"/>
      <c r="R83" s="30"/>
      <c r="S83" s="30"/>
      <c r="T83" s="30"/>
    </row>
    <row r="84" spans="1:20" s="9" customFormat="1">
      <c r="A84" s="110"/>
      <c r="D84" s="107"/>
    </row>
    <row r="85" spans="1:20" s="9" customFormat="1" ht="15">
      <c r="A85" s="110"/>
      <c r="D85" s="107"/>
      <c r="E85" s="40" t="s">
        <v>29</v>
      </c>
      <c r="K85" s="9" t="s">
        <v>70</v>
      </c>
    </row>
    <row r="86" spans="1:20" s="9" customFormat="1" ht="15">
      <c r="A86" s="110"/>
      <c r="D86" s="107"/>
      <c r="E86" s="40" t="s">
        <v>30</v>
      </c>
    </row>
    <row r="87" spans="1:20" s="9" customFormat="1" ht="15">
      <c r="A87" s="110"/>
      <c r="D87" s="107"/>
      <c r="E87" s="40" t="s">
        <v>31</v>
      </c>
    </row>
    <row r="88" spans="1:20" s="9" customFormat="1" ht="15">
      <c r="A88" s="110"/>
      <c r="D88" s="107"/>
      <c r="E88" s="40" t="s">
        <v>37</v>
      </c>
    </row>
    <row r="89" spans="1:20" s="9" customFormat="1">
      <c r="A89" s="110"/>
      <c r="D89" s="107"/>
      <c r="E89" s="1"/>
    </row>
    <row r="90" spans="1:20" s="9" customFormat="1">
      <c r="A90" s="110"/>
      <c r="D90" s="107"/>
      <c r="E90" s="1" t="s">
        <v>27</v>
      </c>
    </row>
    <row r="91" spans="1:20" s="9" customFormat="1">
      <c r="A91" s="110"/>
      <c r="D91" s="107"/>
      <c r="E91" s="1" t="s">
        <v>28</v>
      </c>
    </row>
    <row r="92" spans="1:20" s="9" customFormat="1">
      <c r="A92" s="110"/>
      <c r="B92" s="107"/>
    </row>
    <row r="93" spans="1:20" s="9" customFormat="1">
      <c r="A93" s="107"/>
    </row>
    <row r="94" spans="1:20" s="9" customFormat="1">
      <c r="A94" s="107"/>
      <c r="B94" s="65"/>
      <c r="C94" s="65"/>
      <c r="D94" s="32"/>
      <c r="E94" s="61"/>
      <c r="F94" s="61"/>
      <c r="G94" s="61"/>
      <c r="H94" s="46"/>
      <c r="I94" s="46"/>
      <c r="J94" s="46"/>
    </row>
    <row r="95" spans="1:20" s="9" customFormat="1" ht="13" customHeight="1">
      <c r="A95" s="107" t="s">
        <v>76</v>
      </c>
      <c r="B95" s="117" t="s">
        <v>52</v>
      </c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30"/>
      <c r="Q95" s="30"/>
      <c r="R95" s="30"/>
      <c r="S95" s="30"/>
      <c r="T95" s="30"/>
    </row>
    <row r="96" spans="1:20" s="9" customFormat="1" ht="15.5">
      <c r="A96" s="107"/>
      <c r="B96" s="81"/>
      <c r="C96" s="81"/>
      <c r="D96" s="81"/>
      <c r="E96" s="81"/>
      <c r="F96" s="4"/>
      <c r="G96" s="32"/>
      <c r="H96" s="32"/>
      <c r="I96" s="82"/>
      <c r="J96" s="82"/>
      <c r="K96" s="82"/>
      <c r="L96" s="82"/>
      <c r="M96" s="82"/>
      <c r="N96" s="82"/>
      <c r="O96" s="82"/>
      <c r="P96" s="30"/>
      <c r="Q96" s="30"/>
      <c r="R96" s="30"/>
      <c r="S96" s="30"/>
      <c r="T96" s="30"/>
    </row>
    <row r="97" spans="1:26" s="9" customFormat="1" ht="13">
      <c r="A97" s="107"/>
      <c r="B97" s="115" t="s">
        <v>21</v>
      </c>
      <c r="C97" s="115"/>
      <c r="D97" s="115"/>
      <c r="E97" s="116"/>
      <c r="F97" s="26" t="s">
        <v>4</v>
      </c>
      <c r="G97" s="95">
        <f>G10</f>
        <v>0.88</v>
      </c>
      <c r="H97" s="106">
        <f>H10</f>
        <v>1</v>
      </c>
      <c r="I97" s="95">
        <f>I10</f>
        <v>1.25</v>
      </c>
      <c r="J97" s="95">
        <f>J10</f>
        <v>1.5</v>
      </c>
      <c r="K97" s="4"/>
      <c r="L97" s="95">
        <f>L10</f>
        <v>0.88</v>
      </c>
      <c r="M97" s="95">
        <f>M10</f>
        <v>1</v>
      </c>
      <c r="N97" s="96">
        <f>M10</f>
        <v>1</v>
      </c>
      <c r="O97" s="95">
        <f>N10</f>
        <v>1.25</v>
      </c>
      <c r="P97" s="7"/>
      <c r="T97" s="15"/>
      <c r="U97" s="16"/>
      <c r="V97" s="16"/>
      <c r="W97" s="16"/>
      <c r="X97" s="16"/>
      <c r="Y97" s="16"/>
      <c r="Z97" s="16"/>
    </row>
    <row r="98" spans="1:26" s="9" customFormat="1" ht="13">
      <c r="A98" s="107"/>
      <c r="B98" s="115" t="s">
        <v>57</v>
      </c>
      <c r="C98" s="115"/>
      <c r="D98" s="115"/>
      <c r="E98" s="116"/>
      <c r="F98" s="26" t="s">
        <v>7</v>
      </c>
      <c r="G98" s="94">
        <v>150</v>
      </c>
      <c r="H98" s="94">
        <v>160</v>
      </c>
      <c r="I98" s="94">
        <v>170</v>
      </c>
      <c r="J98" s="94">
        <v>180</v>
      </c>
      <c r="L98" s="94">
        <v>150</v>
      </c>
      <c r="M98" s="94">
        <v>160</v>
      </c>
      <c r="N98" s="94">
        <v>170</v>
      </c>
      <c r="O98" s="94">
        <v>180</v>
      </c>
    </row>
    <row r="99" spans="1:26" s="9" customFormat="1" ht="13">
      <c r="A99" s="107"/>
      <c r="B99" s="164" t="s">
        <v>56</v>
      </c>
      <c r="C99" s="164"/>
      <c r="D99" s="164"/>
      <c r="E99" s="165"/>
      <c r="F99" s="38" t="s">
        <v>6</v>
      </c>
      <c r="G99" s="6">
        <f>G98/(G12/G15)^0.5</f>
        <v>35.521230447438043</v>
      </c>
      <c r="H99" s="6">
        <f>H98/(G12/G15)^0.5</f>
        <v>37.889312477267246</v>
      </c>
      <c r="I99" s="6">
        <f>I98/(G12/G15)^0.5</f>
        <v>40.25739450709645</v>
      </c>
      <c r="J99" s="6">
        <f>J98/(G12/G15)^0.5</f>
        <v>42.625476536925653</v>
      </c>
      <c r="L99" s="6">
        <f>L98/(L12/L15)^0.5</f>
        <v>45.675083309109766</v>
      </c>
      <c r="M99" s="6">
        <f>M98/(L12/L15)^0.5</f>
        <v>48.720088863050414</v>
      </c>
      <c r="N99" s="6">
        <f>N98/(L12/L15)^0.5</f>
        <v>51.765094416991069</v>
      </c>
      <c r="O99" s="6">
        <f>O98/(L12/L15)^0.5</f>
        <v>54.810099970931716</v>
      </c>
    </row>
    <row r="100" spans="1:26" s="9" customFormat="1" ht="13">
      <c r="A100" s="107"/>
      <c r="B100" s="164"/>
      <c r="C100" s="164"/>
      <c r="D100" s="164"/>
      <c r="E100" s="165"/>
      <c r="F100" s="38" t="s">
        <v>1</v>
      </c>
      <c r="G100" s="6">
        <f>G99*1.15077945</f>
        <v>40.877102037626003</v>
      </c>
      <c r="H100" s="6">
        <f t="shared" ref="H100" si="33">H99*1.15077945</f>
        <v>43.602242173467737</v>
      </c>
      <c r="I100" s="6">
        <f t="shared" ref="I100" si="34">I99*1.15077945</f>
        <v>46.327382309309471</v>
      </c>
      <c r="J100" s="6">
        <f t="shared" ref="J100" si="35">J99*1.15077945</f>
        <v>49.052522445151205</v>
      </c>
      <c r="L100" s="6">
        <f>L99*1.15077945</f>
        <v>52.561947249161513</v>
      </c>
      <c r="M100" s="6">
        <f t="shared" ref="M100" si="36">M99*1.15077945</f>
        <v>56.066077065772276</v>
      </c>
      <c r="N100" s="6">
        <f t="shared" ref="N100" si="37">N99*1.15077945</f>
        <v>59.570206882383047</v>
      </c>
      <c r="O100" s="6">
        <f t="shared" ref="O100" si="38">O99*1.15077945</f>
        <v>63.074336698993811</v>
      </c>
    </row>
    <row r="101" spans="1:26" s="9" customFormat="1" ht="13">
      <c r="A101" s="107"/>
      <c r="B101" s="101"/>
      <c r="C101" s="101"/>
      <c r="D101" s="101"/>
      <c r="E101" s="101"/>
      <c r="F101" s="102"/>
      <c r="G101" s="65"/>
      <c r="H101" s="65"/>
      <c r="I101" s="65"/>
      <c r="J101" s="65"/>
      <c r="L101" s="65"/>
      <c r="M101" s="65"/>
      <c r="N101" s="65"/>
      <c r="O101" s="65"/>
    </row>
    <row r="102" spans="1:26" s="9" customFormat="1" ht="13">
      <c r="A102" s="107"/>
      <c r="B102" s="101"/>
      <c r="C102" s="101"/>
      <c r="D102" s="101"/>
      <c r="E102" s="101"/>
      <c r="F102" s="102"/>
      <c r="G102" s="65"/>
      <c r="H102" s="65"/>
      <c r="I102" s="65"/>
      <c r="J102" s="65"/>
      <c r="L102" s="65"/>
      <c r="M102" s="65"/>
      <c r="N102" s="65"/>
      <c r="O102" s="65"/>
    </row>
    <row r="103" spans="1:26" s="9" customFormat="1">
      <c r="A103" s="107"/>
      <c r="B103" s="65"/>
      <c r="C103" s="65"/>
      <c r="D103" s="32"/>
      <c r="E103" s="61"/>
      <c r="F103" s="61"/>
      <c r="G103" s="61"/>
      <c r="H103" s="46"/>
      <c r="I103" s="46"/>
      <c r="J103" s="46"/>
    </row>
    <row r="104" spans="1:26" s="9" customFormat="1" ht="13" customHeight="1">
      <c r="A104" s="107" t="s">
        <v>77</v>
      </c>
      <c r="B104" s="117" t="s">
        <v>55</v>
      </c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30"/>
      <c r="Q104" s="30"/>
      <c r="R104" s="30"/>
      <c r="S104" s="30"/>
      <c r="T104" s="30"/>
    </row>
    <row r="105" spans="1:26">
      <c r="B105" s="61"/>
      <c r="C105" s="32"/>
      <c r="D105" s="32"/>
      <c r="E105" s="32"/>
    </row>
    <row r="106" spans="1:26" ht="14">
      <c r="B106" s="133" t="str">
        <f xml:space="preserve"> G8 &amp; " HP @ " &amp; G9 &amp; " RPM - Required speed " &amp; G13 &amp; " MPH, Attainable " &amp; ROUND(G19,0) &amp; " MPH"</f>
        <v>185 HP @ 4000 RPM - Required speed 40 MPH, Attainable 41 MPH</v>
      </c>
      <c r="C106" s="133"/>
      <c r="D106" s="133"/>
      <c r="E106" s="133"/>
      <c r="F106" s="133"/>
      <c r="G106" s="133"/>
      <c r="H106" s="75"/>
      <c r="I106" s="132" t="str">
        <f xml:space="preserve"> L8 &amp; " HP @ " &amp; L9 &amp; " RPM - Required speed " &amp; L13 &amp; " MPH, Attainable " &amp; ROUND(L19,0) &amp; " MPH"</f>
        <v>325 HP @ 5200 RPM - Required speed 50 MPH, Attainable 53 MPH</v>
      </c>
      <c r="J106" s="132"/>
      <c r="K106" s="132"/>
      <c r="L106" s="132"/>
      <c r="M106" s="132"/>
      <c r="N106" s="132"/>
      <c r="O106" s="132"/>
      <c r="P106" s="69"/>
      <c r="Q106" s="69"/>
    </row>
    <row r="107" spans="1:26" s="9" customFormat="1" ht="14">
      <c r="A107" s="107"/>
      <c r="B107" s="67"/>
      <c r="C107" s="67"/>
      <c r="D107" s="67"/>
      <c r="E107" s="67"/>
      <c r="F107" s="67"/>
      <c r="G107" s="67"/>
      <c r="H107" s="67"/>
      <c r="I107" s="66"/>
      <c r="J107" s="68"/>
      <c r="K107" s="68"/>
      <c r="L107" s="68"/>
      <c r="M107" s="68"/>
      <c r="N107" s="68"/>
      <c r="O107" s="68"/>
      <c r="P107" s="68"/>
      <c r="Q107" s="68"/>
    </row>
    <row r="108" spans="1:26">
      <c r="B108" s="61"/>
      <c r="C108" s="46"/>
      <c r="D108" s="48"/>
      <c r="E108" s="48"/>
      <c r="J108" s="9"/>
      <c r="K108" s="61"/>
      <c r="L108" s="46"/>
      <c r="M108" s="48"/>
      <c r="N108" s="48"/>
      <c r="O108" s="9"/>
      <c r="P108" s="9"/>
      <c r="Q108" s="9"/>
      <c r="R108" s="9"/>
    </row>
    <row r="109" spans="1:26">
      <c r="B109" s="31"/>
      <c r="C109" s="32"/>
      <c r="D109" s="48"/>
      <c r="E109" s="48"/>
      <c r="J109" s="9"/>
      <c r="K109" s="31"/>
      <c r="L109" s="32"/>
      <c r="M109" s="48"/>
      <c r="N109" s="48"/>
      <c r="O109" s="9"/>
      <c r="P109" s="9"/>
      <c r="Q109" s="9"/>
      <c r="R109" s="9"/>
    </row>
    <row r="110" spans="1:26">
      <c r="B110" s="31"/>
      <c r="C110" s="32"/>
      <c r="D110" s="48"/>
      <c r="E110" s="48"/>
      <c r="J110" s="9"/>
      <c r="K110" s="31"/>
      <c r="L110" s="32"/>
      <c r="M110" s="48"/>
      <c r="N110" s="48"/>
      <c r="O110" s="9"/>
      <c r="P110" s="9"/>
      <c r="Q110" s="9"/>
      <c r="R110" s="9"/>
    </row>
    <row r="111" spans="1:26">
      <c r="B111" s="31"/>
      <c r="C111" s="32"/>
      <c r="D111" s="48"/>
      <c r="E111" s="48"/>
      <c r="J111" s="9"/>
      <c r="K111" s="31"/>
      <c r="L111" s="32"/>
      <c r="M111" s="48"/>
      <c r="N111" s="48"/>
      <c r="O111" s="9"/>
      <c r="P111" s="9"/>
      <c r="Q111" s="9"/>
      <c r="R111" s="9"/>
    </row>
    <row r="112" spans="1:26">
      <c r="B112" s="9"/>
      <c r="F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" s="9" customFormat="1">
      <c r="A113" s="107"/>
    </row>
    <row r="114" spans="1:1" s="9" customFormat="1">
      <c r="A114" s="107"/>
    </row>
    <row r="115" spans="1:1" s="9" customFormat="1">
      <c r="A115" s="107"/>
    </row>
    <row r="116" spans="1:1" s="9" customFormat="1">
      <c r="A116" s="107"/>
    </row>
    <row r="117" spans="1:1" s="9" customFormat="1">
      <c r="A117" s="107"/>
    </row>
    <row r="118" spans="1:1" s="9" customFormat="1">
      <c r="A118" s="107"/>
    </row>
    <row r="119" spans="1:1" s="9" customFormat="1">
      <c r="A119" s="107"/>
    </row>
    <row r="120" spans="1:1" s="9" customFormat="1">
      <c r="A120" s="107"/>
    </row>
    <row r="121" spans="1:1" s="9" customFormat="1">
      <c r="A121" s="107"/>
    </row>
    <row r="122" spans="1:1" s="9" customFormat="1">
      <c r="A122" s="107"/>
    </row>
    <row r="123" spans="1:1" s="9" customFormat="1">
      <c r="A123" s="107"/>
    </row>
    <row r="124" spans="1:1" s="9" customFormat="1">
      <c r="A124" s="107"/>
    </row>
    <row r="125" spans="1:1" s="9" customFormat="1">
      <c r="A125" s="107"/>
    </row>
    <row r="126" spans="1:1" s="9" customFormat="1">
      <c r="A126" s="107"/>
    </row>
    <row r="127" spans="1:1" s="9" customFormat="1">
      <c r="A127" s="107"/>
    </row>
    <row r="128" spans="1:1" s="9" customFormat="1">
      <c r="A128" s="107"/>
    </row>
    <row r="129" spans="1:16" s="9" customFormat="1">
      <c r="A129" s="107"/>
    </row>
    <row r="130" spans="1:16" s="9" customFormat="1">
      <c r="A130" s="107"/>
    </row>
    <row r="131" spans="1:16" s="9" customFormat="1">
      <c r="A131" s="107"/>
    </row>
    <row r="132" spans="1:16" s="9" customFormat="1">
      <c r="A132" s="107"/>
    </row>
    <row r="133" spans="1:16" s="9" customFormat="1">
      <c r="A133" s="107"/>
    </row>
    <row r="134" spans="1:16" s="9" customFormat="1">
      <c r="A134" s="107"/>
    </row>
    <row r="135" spans="1:16" s="9" customFormat="1">
      <c r="A135" s="107"/>
    </row>
    <row r="136" spans="1:16" s="9" customFormat="1">
      <c r="A136" s="107"/>
    </row>
    <row r="137" spans="1:16" s="9" customFormat="1">
      <c r="A137" s="107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</row>
    <row r="138" spans="1:16" s="9" customFormat="1">
      <c r="A138" s="107"/>
      <c r="B138" s="70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2"/>
      <c r="P138" s="55"/>
    </row>
    <row r="139" spans="1:16" s="9" customFormat="1" ht="14">
      <c r="A139" s="107"/>
      <c r="B139" s="122" t="s">
        <v>42</v>
      </c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4"/>
      <c r="P139" s="59"/>
    </row>
    <row r="140" spans="1:16" s="9" customFormat="1" ht="12.5" customHeight="1">
      <c r="A140" s="107"/>
      <c r="B140" s="83"/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5"/>
      <c r="P140" s="55"/>
    </row>
    <row r="141" spans="1:16" s="9" customFormat="1" ht="58.5" customHeight="1">
      <c r="A141" s="107"/>
      <c r="B141" s="125" t="s">
        <v>44</v>
      </c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7"/>
      <c r="P141" s="58"/>
    </row>
    <row r="142" spans="1:16" s="9" customFormat="1" ht="13">
      <c r="A142" s="107"/>
      <c r="B142" s="86" t="s">
        <v>43</v>
      </c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8"/>
      <c r="P142" s="18"/>
    </row>
    <row r="143" spans="1:16" s="9" customFormat="1">
      <c r="A143" s="107"/>
      <c r="B143" s="89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1"/>
      <c r="P143" s="55"/>
    </row>
    <row r="144" spans="1:16" s="9" customFormat="1">
      <c r="A144" s="107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</row>
    <row r="145" spans="1:17" s="9" customFormat="1">
      <c r="A145" s="107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</row>
    <row r="146" spans="1:17" s="9" customFormat="1" ht="13">
      <c r="A146" s="107"/>
      <c r="B146" s="142" t="s">
        <v>68</v>
      </c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20">
        <f ca="1">NOW()</f>
        <v>42045.603898148147</v>
      </c>
      <c r="N146" s="120"/>
      <c r="O146" s="25"/>
      <c r="P146" s="25"/>
      <c r="Q146" s="22"/>
    </row>
    <row r="147" spans="1:17" s="9" customFormat="1">
      <c r="A147" s="107"/>
      <c r="C147" s="10"/>
      <c r="D147" s="11"/>
      <c r="E147" s="11"/>
      <c r="F147" s="11"/>
      <c r="G147" s="11"/>
      <c r="H147" s="11"/>
      <c r="I147" s="11"/>
      <c r="J147" s="11"/>
      <c r="K147" s="11"/>
      <c r="L147" s="11"/>
    </row>
    <row r="148" spans="1:17" s="9" customFormat="1" ht="13">
      <c r="A148" s="107"/>
      <c r="D148" s="121" t="s">
        <v>24</v>
      </c>
      <c r="E148" s="121"/>
      <c r="F148" s="121"/>
      <c r="G148" s="121"/>
      <c r="H148" s="118" t="s">
        <v>14</v>
      </c>
      <c r="I148" s="118"/>
      <c r="J148" s="118"/>
      <c r="K148" s="118"/>
      <c r="L148" s="118"/>
      <c r="M148" s="12"/>
      <c r="N148" s="12"/>
      <c r="O148" s="12"/>
      <c r="P148" s="12"/>
    </row>
    <row r="149" spans="1:17" s="9" customFormat="1">
      <c r="A149" s="107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</row>
  </sheetData>
  <sheetProtection password="D10D" sheet="1" objects="1" scenarios="1" selectLockedCells="1"/>
  <mergeCells count="62">
    <mergeCell ref="A44:A45"/>
    <mergeCell ref="D77:G77"/>
    <mergeCell ref="D78:G78"/>
    <mergeCell ref="D79:G79"/>
    <mergeCell ref="D80:G80"/>
    <mergeCell ref="F45:O45"/>
    <mergeCell ref="B49:O49"/>
    <mergeCell ref="B83:O83"/>
    <mergeCell ref="B104:O104"/>
    <mergeCell ref="J51:L53"/>
    <mergeCell ref="M51:O53"/>
    <mergeCell ref="K76:M76"/>
    <mergeCell ref="K77:M77"/>
    <mergeCell ref="K78:M78"/>
    <mergeCell ref="K79:M79"/>
    <mergeCell ref="K75:M75"/>
    <mergeCell ref="B95:O95"/>
    <mergeCell ref="B98:E98"/>
    <mergeCell ref="B99:E100"/>
    <mergeCell ref="F51:H53"/>
    <mergeCell ref="C51:E53"/>
    <mergeCell ref="C75:G75"/>
    <mergeCell ref="D76:G76"/>
    <mergeCell ref="B146:L146"/>
    <mergeCell ref="B97:E97"/>
    <mergeCell ref="C2:O2"/>
    <mergeCell ref="C4:O4"/>
    <mergeCell ref="C5:O5"/>
    <mergeCell ref="B7:E7"/>
    <mergeCell ref="B13:E13"/>
    <mergeCell ref="B9:E9"/>
    <mergeCell ref="B8:E8"/>
    <mergeCell ref="B11:E11"/>
    <mergeCell ref="B10:E10"/>
    <mergeCell ref="G7:J7"/>
    <mergeCell ref="L7:O7"/>
    <mergeCell ref="B12:E12"/>
    <mergeCell ref="B15:E15"/>
    <mergeCell ref="B16:E16"/>
    <mergeCell ref="B21:E21"/>
    <mergeCell ref="B35:E36"/>
    <mergeCell ref="B29:E30"/>
    <mergeCell ref="B31:E31"/>
    <mergeCell ref="B32:E32"/>
    <mergeCell ref="B33:E33"/>
    <mergeCell ref="B27:E27"/>
    <mergeCell ref="B20:E20"/>
    <mergeCell ref="B17:E17"/>
    <mergeCell ref="B25:O25"/>
    <mergeCell ref="H148:L148"/>
    <mergeCell ref="B38:E39"/>
    <mergeCell ref="M146:N146"/>
    <mergeCell ref="D148:G148"/>
    <mergeCell ref="B139:O139"/>
    <mergeCell ref="B141:O141"/>
    <mergeCell ref="B40:E40"/>
    <mergeCell ref="B41:E41"/>
    <mergeCell ref="I106:O106"/>
    <mergeCell ref="B106:G106"/>
    <mergeCell ref="B18:E19"/>
    <mergeCell ref="B44:E45"/>
    <mergeCell ref="F44:O44"/>
  </mergeCells>
  <phoneticPr fontId="0" type="noConversion"/>
  <conditionalFormatting sqref="G32:J32 L32:O32 G41:J41 L41:O41">
    <cfRule type="containsText" dxfId="2" priority="11" operator="containsText" text="OK">
      <formula>NOT(ISERROR(SEARCH("OK",G32)))</formula>
    </cfRule>
  </conditionalFormatting>
  <conditionalFormatting sqref="J55:J71">
    <cfRule type="cellIs" dxfId="0" priority="4" operator="equal">
      <formula>$L$13</formula>
    </cfRule>
  </conditionalFormatting>
  <conditionalFormatting sqref="C55:C71">
    <cfRule type="cellIs" dxfId="1" priority="5" operator="equal">
      <formula>$G$13</formula>
    </cfRule>
  </conditionalFormatting>
  <dataValidations count="3">
    <dataValidation allowBlank="1" showErrorMessage="1" sqref="G13"/>
    <dataValidation type="list" allowBlank="1" showInputMessage="1" showErrorMessage="1" prompt="Select Fuel Type" sqref="L7:O7 G7:J7">
      <formula1>FuelType</formula1>
    </dataValidation>
    <dataValidation allowBlank="1" sqref="G11:G12"/>
  </dataValidations>
  <hyperlinks>
    <hyperlink ref="H148" r:id="rId1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37" orientation="portrait" horizontalDpi="4294967295" verticalDpi="4294967295" r:id="rId2"/>
  <headerFooter scaleWithDoc="0" alignWithMargins="0"/>
  <drawing r:id="rId3"/>
  <webPublishItems count="1">
    <webPublishItem id="11797" divId="shp_11797" sourceType="sheet" destinationFile="C:\Users\Paul Kane\Documents\Boating\Spreadsheets\SHP\shp_mcol_v2_8.1v6.6.htm" autoRepublish="1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C5:C6"/>
  <sheetViews>
    <sheetView workbookViewId="0">
      <selection activeCell="C5" sqref="C5:C6"/>
    </sheetView>
  </sheetViews>
  <sheetFormatPr defaultRowHeight="12.5"/>
  <cols>
    <col min="1" max="16384" width="8.7265625" style="9"/>
  </cols>
  <sheetData>
    <row r="5" spans="3:3">
      <c r="C5" s="1" t="s">
        <v>48</v>
      </c>
    </row>
    <row r="6" spans="3:3">
      <c r="C6" s="1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Power Required</vt:lpstr>
      <vt:lpstr>Sheet2</vt:lpstr>
      <vt:lpstr>FuelType</vt:lpstr>
      <vt:lpstr>'Power Required'!Print_Area</vt:lpstr>
    </vt:vector>
  </TitlesOfParts>
  <Company>Surfbaud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Freeware Propeller Calculator</dc:title>
  <dc:subject>Marine Engineering</dc:subject>
  <dc:creator>Paul Kane</dc:creator>
  <cp:lastModifiedBy>Paul Kane</cp:lastModifiedBy>
  <cp:lastPrinted>2015-02-07T23:23:19Z</cp:lastPrinted>
  <dcterms:created xsi:type="dcterms:W3CDTF">1998-09-02T13:50:21Z</dcterms:created>
  <dcterms:modified xsi:type="dcterms:W3CDTF">2015-02-10T19:34:25Z</dcterms:modified>
</cp:coreProperties>
</file>