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0" yWindow="-20" windowWidth="19300" windowHeight="11560" tabRatio="936"/>
  </bookViews>
  <sheets>
    <sheet name="Torque &amp; Shaft Horsepower" sheetId="2" r:id="rId1"/>
    <sheet name="Speed Table" sheetId="10" r:id="rId2"/>
    <sheet name="Diameter-HP-RPM" sheetId="13" r:id="rId3"/>
  </sheets>
  <definedNames>
    <definedName name="_xlnm.Print_Area" localSheetId="2">'Diameter-HP-RPM'!$A$1:$L$60</definedName>
    <definedName name="_xlnm.Print_Area" localSheetId="1">'Speed Table'!$A$1:$S$72</definedName>
    <definedName name="_xlnm.Print_Area" localSheetId="0">'Torque &amp; Shaft Horsepower'!$D$1:$V$124</definedName>
  </definedNames>
  <calcPr calcId="125725"/>
  <webPublishObjects count="4">
    <webPublishObject id="22101" divId="prop_calcs_plus_5_180vs180_22101" destinationFile="C:\Users\Paul Kane\Documents\Boating\Spreadsheets\Prop Calcs\prop_calcs_plus_5_180vs180.htm"/>
    <webPublishObject id="10809" divId="prop_calcs_plus_5_180vs180_10809" destinationFile="C:\Users\Paul Kane\Documents\Boating\Spreadsheets\Prop Calcs\prop_calcs_plus_5_180vs180.htm"/>
    <webPublishObject id="4798" divId="prop_calcs_plus_5_180vs180_4798" destinationFile="C:\Users\Paul Kane\Documents\Boating\Spreadsheets\Prop Calcs\prop_calcs_plus_5_180vs180.htm"/>
    <webPublishObject id="24679" divId="prop_calcs_plus_5_180vs180_24679" destinationFile="C:\Users\Paul Kane\Documents\Boating\Spreadsheets\Prop Calcs\prop_calcs_plus_5_180vs180.htm"/>
  </webPublishObjects>
</workbook>
</file>

<file path=xl/calcChain.xml><?xml version="1.0" encoding="utf-8"?>
<calcChain xmlns="http://schemas.openxmlformats.org/spreadsheetml/2006/main">
  <c r="N6" i="10"/>
  <c r="L22" s="1"/>
  <c r="N5"/>
  <c r="E5"/>
  <c r="D69"/>
  <c r="C58" i="13"/>
  <c r="G58"/>
  <c r="I71" i="10"/>
  <c r="F71"/>
  <c r="B56" i="13"/>
  <c r="Q80" i="2"/>
  <c r="N69" i="10" s="1"/>
  <c r="P22" i="2"/>
  <c r="M12"/>
  <c r="P25"/>
  <c r="R34" s="1"/>
  <c r="R41" s="1"/>
  <c r="P24"/>
  <c r="S62"/>
  <c r="S61"/>
  <c r="O62"/>
  <c r="K62"/>
  <c r="K61"/>
  <c r="K33"/>
  <c r="P33"/>
  <c r="K22"/>
  <c r="K7"/>
  <c r="P49"/>
  <c r="K12" i="10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11"/>
  <c r="F67" i="2"/>
  <c r="F69"/>
  <c r="F71"/>
  <c r="F76"/>
  <c r="F75"/>
  <c r="F73"/>
  <c r="G62"/>
  <c r="R49"/>
  <c r="M49"/>
  <c r="R45"/>
  <c r="R42"/>
  <c r="P45"/>
  <c r="P42"/>
  <c r="P30"/>
  <c r="M15"/>
  <c r="E33" s="1"/>
  <c r="I100"/>
  <c r="I101" s="1"/>
  <c r="I102" s="1"/>
  <c r="K17"/>
  <c r="M45"/>
  <c r="M42"/>
  <c r="K45"/>
  <c r="K42"/>
  <c r="K49"/>
  <c r="K30"/>
  <c r="L100"/>
  <c r="M11"/>
  <c r="D13" i="13"/>
  <c r="F37" s="1"/>
  <c r="D12"/>
  <c r="D10"/>
  <c r="K45"/>
  <c r="J45"/>
  <c r="I45"/>
  <c r="H45"/>
  <c r="F45"/>
  <c r="E45"/>
  <c r="D45"/>
  <c r="K20"/>
  <c r="H20"/>
  <c r="E20"/>
  <c r="E21" s="1"/>
  <c r="F74" i="2"/>
  <c r="F72"/>
  <c r="F70"/>
  <c r="F68"/>
  <c r="F66"/>
  <c r="K56" i="13" l="1"/>
  <c r="K66" i="2"/>
  <c r="S75"/>
  <c r="K76"/>
  <c r="K72"/>
  <c r="K73"/>
  <c r="K68"/>
  <c r="S71"/>
  <c r="S70"/>
  <c r="S69"/>
  <c r="S68"/>
  <c r="S76"/>
  <c r="S67"/>
  <c r="S66"/>
  <c r="S74"/>
  <c r="S73"/>
  <c r="S72"/>
  <c r="K71"/>
  <c r="K70"/>
  <c r="K67"/>
  <c r="K75"/>
  <c r="K74"/>
  <c r="K69"/>
  <c r="O61"/>
  <c r="O67" s="1"/>
  <c r="G61"/>
  <c r="L65" i="10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6"/>
  <c r="L38"/>
  <c r="L37"/>
  <c r="L35"/>
  <c r="L34"/>
  <c r="L33"/>
  <c r="L32"/>
  <c r="L31"/>
  <c r="L30"/>
  <c r="L29"/>
  <c r="L28"/>
  <c r="L27"/>
  <c r="L26"/>
  <c r="L25"/>
  <c r="L24"/>
  <c r="L23"/>
  <c r="L21"/>
  <c r="L20"/>
  <c r="L19"/>
  <c r="L18"/>
  <c r="L17"/>
  <c r="L16"/>
  <c r="L15"/>
  <c r="L14"/>
  <c r="L13"/>
  <c r="L12"/>
  <c r="L11"/>
  <c r="P34" i="2"/>
  <c r="P41" s="1"/>
  <c r="R46"/>
  <c r="R44"/>
  <c r="R43"/>
  <c r="F33" i="13"/>
  <c r="F32"/>
  <c r="C53"/>
  <c r="J53" s="1"/>
  <c r="F36"/>
  <c r="C50"/>
  <c r="H50" s="1"/>
  <c r="F35"/>
  <c r="C52"/>
  <c r="H52" s="1"/>
  <c r="F34"/>
  <c r="C51"/>
  <c r="I51" s="1"/>
  <c r="C49"/>
  <c r="K49" s="1"/>
  <c r="C48"/>
  <c r="H48" s="1"/>
  <c r="F31"/>
  <c r="F39"/>
  <c r="C47"/>
  <c r="J47" s="1"/>
  <c r="F30"/>
  <c r="F38"/>
  <c r="F29"/>
  <c r="S55" i="2" l="1"/>
  <c r="S51"/>
  <c r="S52" s="1"/>
  <c r="G67"/>
  <c r="E6" i="10"/>
  <c r="O74" i="2"/>
  <c r="O72"/>
  <c r="O75"/>
  <c r="O73"/>
  <c r="O70"/>
  <c r="O71"/>
  <c r="O68"/>
  <c r="O76"/>
  <c r="O69"/>
  <c r="O66"/>
  <c r="G69"/>
  <c r="G76"/>
  <c r="G75"/>
  <c r="G66"/>
  <c r="G68"/>
  <c r="G72"/>
  <c r="G70"/>
  <c r="G74"/>
  <c r="G73"/>
  <c r="G71"/>
  <c r="S54"/>
  <c r="S53"/>
  <c r="P46"/>
  <c r="P44"/>
  <c r="P43"/>
  <c r="D50" i="13"/>
  <c r="K50"/>
  <c r="I50"/>
  <c r="E50"/>
  <c r="F50"/>
  <c r="K48"/>
  <c r="H51"/>
  <c r="D51"/>
  <c r="E51"/>
  <c r="D48"/>
  <c r="E48"/>
  <c r="F49"/>
  <c r="F47"/>
  <c r="J50"/>
  <c r="E49"/>
  <c r="D49"/>
  <c r="H49"/>
  <c r="J49"/>
  <c r="J51"/>
  <c r="F53"/>
  <c r="K51"/>
  <c r="I49"/>
  <c r="F51"/>
  <c r="K53"/>
  <c r="H53"/>
  <c r="E53"/>
  <c r="J48"/>
  <c r="F48"/>
  <c r="I48"/>
  <c r="I53"/>
  <c r="D53"/>
  <c r="K52"/>
  <c r="E52"/>
  <c r="I52"/>
  <c r="D47"/>
  <c r="H47"/>
  <c r="K47"/>
  <c r="F52"/>
  <c r="J52"/>
  <c r="E47"/>
  <c r="I47"/>
  <c r="D52"/>
  <c r="Q55" i="2" l="1"/>
  <c r="Q51"/>
  <c r="Q52" s="1"/>
  <c r="C58" i="10"/>
  <c r="C38"/>
  <c r="C48"/>
  <c r="C65"/>
  <c r="C62"/>
  <c r="C12"/>
  <c r="C19"/>
  <c r="C34"/>
  <c r="C32"/>
  <c r="C45"/>
  <c r="C56"/>
  <c r="C47"/>
  <c r="C44"/>
  <c r="C57"/>
  <c r="C23"/>
  <c r="C20"/>
  <c r="C42"/>
  <c r="C22"/>
  <c r="C31"/>
  <c r="C40"/>
  <c r="C54"/>
  <c r="C61"/>
  <c r="C11"/>
  <c r="C26"/>
  <c r="C16"/>
  <c r="C49"/>
  <c r="C24"/>
  <c r="C63"/>
  <c r="C53"/>
  <c r="C18"/>
  <c r="C15"/>
  <c r="C41"/>
  <c r="C55"/>
  <c r="C52"/>
  <c r="C14"/>
  <c r="C13"/>
  <c r="C27"/>
  <c r="C60"/>
  <c r="C59"/>
  <c r="C25"/>
  <c r="C37"/>
  <c r="C51"/>
  <c r="C33"/>
  <c r="C46"/>
  <c r="C64"/>
  <c r="C29"/>
  <c r="C36"/>
  <c r="C43"/>
  <c r="C17"/>
  <c r="C30"/>
  <c r="C39"/>
  <c r="C21"/>
  <c r="C28"/>
  <c r="C35"/>
  <c r="C50"/>
  <c r="T69" i="2"/>
  <c r="U69" s="1"/>
  <c r="T73"/>
  <c r="U73" s="1"/>
  <c r="T68"/>
  <c r="U68" s="1"/>
  <c r="T71"/>
  <c r="U71" s="1"/>
  <c r="T75"/>
  <c r="U75" s="1"/>
  <c r="T76"/>
  <c r="U76" s="1"/>
  <c r="T70"/>
  <c r="U70" s="1"/>
  <c r="T74"/>
  <c r="U74" s="1"/>
  <c r="T66"/>
  <c r="U66" s="1"/>
  <c r="T67"/>
  <c r="U67" s="1"/>
  <c r="T72"/>
  <c r="U72" s="1"/>
  <c r="Q54"/>
  <c r="Q53" l="1"/>
  <c r="P66" l="1"/>
  <c r="Q66" s="1"/>
  <c r="P72"/>
  <c r="Q72" s="1"/>
  <c r="P70"/>
  <c r="Q70" s="1"/>
  <c r="P69"/>
  <c r="Q69" s="1"/>
  <c r="P75"/>
  <c r="Q75" s="1"/>
  <c r="P68"/>
  <c r="Q68" s="1"/>
  <c r="P67"/>
  <c r="Q67" s="1"/>
  <c r="P74"/>
  <c r="Q74" s="1"/>
  <c r="P71"/>
  <c r="Q71" s="1"/>
  <c r="P73"/>
  <c r="Q73" s="1"/>
  <c r="P76"/>
  <c r="Q76" s="1"/>
  <c r="M14"/>
  <c r="K25"/>
  <c r="K34" s="1"/>
  <c r="K24"/>
  <c r="P26" l="1"/>
  <c r="P28"/>
  <c r="P32" s="1"/>
  <c r="K43"/>
  <c r="K44"/>
  <c r="K46"/>
  <c r="L51" s="1"/>
  <c r="K41"/>
  <c r="M34"/>
  <c r="K26"/>
  <c r="K28"/>
  <c r="L52" l="1"/>
  <c r="L53"/>
  <c r="L55"/>
  <c r="R39"/>
  <c r="R51" s="1"/>
  <c r="R52" s="1"/>
  <c r="P39"/>
  <c r="P51" s="1"/>
  <c r="P52" s="1"/>
  <c r="P54"/>
  <c r="R54"/>
  <c r="R35"/>
  <c r="P35"/>
  <c r="K32"/>
  <c r="M44"/>
  <c r="M46"/>
  <c r="M41"/>
  <c r="M43"/>
  <c r="L54"/>
  <c r="D14" i="13"/>
  <c r="J20" s="1"/>
  <c r="J21" s="1"/>
  <c r="J22" s="1"/>
  <c r="N55" i="2" l="1"/>
  <c r="N51"/>
  <c r="N52" s="1"/>
  <c r="H68"/>
  <c r="I68" s="1"/>
  <c r="H67"/>
  <c r="I67" s="1"/>
  <c r="R53"/>
  <c r="R55"/>
  <c r="P53"/>
  <c r="P55"/>
  <c r="K18"/>
  <c r="M35"/>
  <c r="M54"/>
  <c r="K35"/>
  <c r="N100"/>
  <c r="L101" s="1"/>
  <c r="K102" s="1"/>
  <c r="I103" s="1"/>
  <c r="I104" s="1"/>
  <c r="K39"/>
  <c r="K54"/>
  <c r="D11" i="13"/>
  <c r="G31" s="1"/>
  <c r="H31" s="1"/>
  <c r="M39" i="2"/>
  <c r="N53"/>
  <c r="N54"/>
  <c r="M51" l="1"/>
  <c r="M52" s="1"/>
  <c r="K53"/>
  <c r="K51"/>
  <c r="K52" s="1"/>
  <c r="P37"/>
  <c r="P47" s="1"/>
  <c r="K37"/>
  <c r="K47" s="1"/>
  <c r="M37"/>
  <c r="H70"/>
  <c r="I70" s="1"/>
  <c r="H75"/>
  <c r="I75" s="1"/>
  <c r="H74"/>
  <c r="I74" s="1"/>
  <c r="H76"/>
  <c r="I76" s="1"/>
  <c r="D43" i="10"/>
  <c r="H71" i="2"/>
  <c r="I71" s="1"/>
  <c r="H69"/>
  <c r="I69" s="1"/>
  <c r="H72"/>
  <c r="I72" s="1"/>
  <c r="H73"/>
  <c r="I73" s="1"/>
  <c r="H66"/>
  <c r="I66" s="1"/>
  <c r="D61" i="10"/>
  <c r="D30"/>
  <c r="L71" i="2"/>
  <c r="L73"/>
  <c r="L70"/>
  <c r="L75"/>
  <c r="L67"/>
  <c r="M67" s="1"/>
  <c r="L76"/>
  <c r="L66"/>
  <c r="M66" s="1"/>
  <c r="L74"/>
  <c r="L68"/>
  <c r="L69"/>
  <c r="L72"/>
  <c r="G36" i="13"/>
  <c r="H36" s="1"/>
  <c r="G32"/>
  <c r="H32" s="1"/>
  <c r="G38"/>
  <c r="H38" s="1"/>
  <c r="G34"/>
  <c r="H34" s="1"/>
  <c r="G39"/>
  <c r="H39" s="1"/>
  <c r="G37"/>
  <c r="H37" s="1"/>
  <c r="G35"/>
  <c r="H35" s="1"/>
  <c r="G33"/>
  <c r="H33" s="1"/>
  <c r="G30"/>
  <c r="H30" s="1"/>
  <c r="G29"/>
  <c r="H29" s="1"/>
  <c r="G20"/>
  <c r="G21" s="1"/>
  <c r="E22" s="1"/>
  <c r="E23" s="1"/>
  <c r="E24" s="1"/>
  <c r="M55" i="2"/>
  <c r="M104"/>
  <c r="K55"/>
  <c r="M53" l="1"/>
  <c r="R37"/>
  <c r="R38" s="1"/>
  <c r="P38"/>
  <c r="D11" i="10"/>
  <c r="E11" s="1"/>
  <c r="D59"/>
  <c r="D31"/>
  <c r="D48"/>
  <c r="D20"/>
  <c r="F20" s="1"/>
  <c r="D26"/>
  <c r="D13"/>
  <c r="E13" s="1"/>
  <c r="D58"/>
  <c r="D55"/>
  <c r="D14"/>
  <c r="E14" s="1"/>
  <c r="D22"/>
  <c r="I22" s="1"/>
  <c r="D15"/>
  <c r="H15" s="1"/>
  <c r="D53"/>
  <c r="D57"/>
  <c r="D44"/>
  <c r="D24"/>
  <c r="D37"/>
  <c r="D47"/>
  <c r="D60"/>
  <c r="D27"/>
  <c r="D41"/>
  <c r="D21"/>
  <c r="H21" s="1"/>
  <c r="D18"/>
  <c r="F18" s="1"/>
  <c r="D42"/>
  <c r="D19"/>
  <c r="H19" s="1"/>
  <c r="D35"/>
  <c r="D33"/>
  <c r="D63"/>
  <c r="D16"/>
  <c r="F16" s="1"/>
  <c r="D32"/>
  <c r="D38"/>
  <c r="D56"/>
  <c r="D54"/>
  <c r="D23"/>
  <c r="D51"/>
  <c r="D40"/>
  <c r="D62"/>
  <c r="D29"/>
  <c r="D45"/>
  <c r="D46"/>
  <c r="D12"/>
  <c r="H12" s="1"/>
  <c r="D39"/>
  <c r="D28"/>
  <c r="D34"/>
  <c r="D36"/>
  <c r="D65"/>
  <c r="D52"/>
  <c r="D64"/>
  <c r="D17"/>
  <c r="H17" s="1"/>
  <c r="D49"/>
  <c r="D50"/>
  <c r="D25"/>
  <c r="M60"/>
  <c r="M51"/>
  <c r="M35"/>
  <c r="M44"/>
  <c r="M39"/>
  <c r="M17"/>
  <c r="M24"/>
  <c r="M54"/>
  <c r="M57"/>
  <c r="M45"/>
  <c r="M49"/>
  <c r="M46"/>
  <c r="M37"/>
  <c r="M21"/>
  <c r="M30"/>
  <c r="M28"/>
  <c r="M58"/>
  <c r="M16"/>
  <c r="M47"/>
  <c r="M36"/>
  <c r="M34"/>
  <c r="M53"/>
  <c r="M23"/>
  <c r="M61"/>
  <c r="M19"/>
  <c r="M14"/>
  <c r="M50"/>
  <c r="M65"/>
  <c r="M63"/>
  <c r="M12"/>
  <c r="M59"/>
  <c r="M42"/>
  <c r="M64"/>
  <c r="M52"/>
  <c r="M43"/>
  <c r="M56"/>
  <c r="M55"/>
  <c r="M38"/>
  <c r="M22"/>
  <c r="M31"/>
  <c r="M29"/>
  <c r="M26"/>
  <c r="M41"/>
  <c r="M48"/>
  <c r="M27"/>
  <c r="M11"/>
  <c r="M20"/>
  <c r="M15"/>
  <c r="M18"/>
  <c r="M33"/>
  <c r="M40"/>
  <c r="M13"/>
  <c r="M62"/>
  <c r="M25"/>
  <c r="M32"/>
  <c r="M38" i="2"/>
  <c r="K38"/>
  <c r="F21" i="10" l="1"/>
  <c r="I21"/>
  <c r="G21"/>
  <c r="G11"/>
  <c r="G16"/>
  <c r="E16"/>
  <c r="E21"/>
  <c r="E12"/>
  <c r="F12"/>
  <c r="I11"/>
  <c r="I14"/>
  <c r="F14"/>
  <c r="H11"/>
  <c r="E15"/>
  <c r="H14"/>
  <c r="F11"/>
  <c r="G15"/>
  <c r="G14"/>
  <c r="G22"/>
  <c r="I15"/>
  <c r="H20"/>
  <c r="F15"/>
  <c r="H22"/>
  <c r="I16"/>
  <c r="E20"/>
  <c r="F22"/>
  <c r="I20"/>
  <c r="H16"/>
  <c r="G20"/>
  <c r="E22"/>
  <c r="I13"/>
  <c r="G13"/>
  <c r="H13"/>
  <c r="G12"/>
  <c r="F19"/>
  <c r="E17"/>
  <c r="F13"/>
  <c r="E19"/>
  <c r="I18"/>
  <c r="G19"/>
  <c r="E18"/>
  <c r="H18"/>
  <c r="I19"/>
  <c r="G18"/>
  <c r="G17"/>
  <c r="F17"/>
  <c r="I12"/>
  <c r="I17"/>
  <c r="N41"/>
  <c r="R41"/>
  <c r="O41"/>
  <c r="P41"/>
  <c r="Q41"/>
  <c r="Q49"/>
  <c r="O49"/>
  <c r="P49"/>
  <c r="N49"/>
  <c r="R49"/>
  <c r="Q13"/>
  <c r="P13"/>
  <c r="O13"/>
  <c r="N13"/>
  <c r="R13"/>
  <c r="Q48"/>
  <c r="P48"/>
  <c r="R48"/>
  <c r="O48"/>
  <c r="N48"/>
  <c r="P56"/>
  <c r="N56"/>
  <c r="Q56"/>
  <c r="O56"/>
  <c r="R56"/>
  <c r="R65"/>
  <c r="Q65"/>
  <c r="N65"/>
  <c r="O65"/>
  <c r="P65"/>
  <c r="P36"/>
  <c r="R36"/>
  <c r="Q36"/>
  <c r="O36"/>
  <c r="N36"/>
  <c r="P46"/>
  <c r="Q46"/>
  <c r="N46"/>
  <c r="R46"/>
  <c r="O46"/>
  <c r="Q44"/>
  <c r="R44"/>
  <c r="P44"/>
  <c r="O44"/>
  <c r="N44"/>
  <c r="P62"/>
  <c r="O62"/>
  <c r="R62"/>
  <c r="Q62"/>
  <c r="N62"/>
  <c r="O27"/>
  <c r="N27"/>
  <c r="P27"/>
  <c r="Q27"/>
  <c r="R27"/>
  <c r="R55"/>
  <c r="P55"/>
  <c r="N55"/>
  <c r="O55"/>
  <c r="Q55"/>
  <c r="O63"/>
  <c r="N63"/>
  <c r="Q63"/>
  <c r="R63"/>
  <c r="P63"/>
  <c r="R34"/>
  <c r="N34"/>
  <c r="P34"/>
  <c r="Q34"/>
  <c r="O34"/>
  <c r="P37"/>
  <c r="Q37"/>
  <c r="O37"/>
  <c r="N37"/>
  <c r="R37"/>
  <c r="R39"/>
  <c r="P39"/>
  <c r="O39"/>
  <c r="N39"/>
  <c r="Q39"/>
  <c r="R40"/>
  <c r="Q40"/>
  <c r="O40"/>
  <c r="P40"/>
  <c r="N40"/>
  <c r="O43"/>
  <c r="N43"/>
  <c r="P43"/>
  <c r="R43"/>
  <c r="Q43"/>
  <c r="Q35"/>
  <c r="R35"/>
  <c r="O35"/>
  <c r="P35"/>
  <c r="N35"/>
  <c r="R11"/>
  <c r="N11"/>
  <c r="Q11"/>
  <c r="O11"/>
  <c r="P11"/>
  <c r="R53"/>
  <c r="Q53"/>
  <c r="N53"/>
  <c r="P53"/>
  <c r="O53"/>
  <c r="N32"/>
  <c r="P32"/>
  <c r="O32"/>
  <c r="R32"/>
  <c r="Q32"/>
  <c r="P59"/>
  <c r="Q59"/>
  <c r="O59"/>
  <c r="R59"/>
  <c r="N59"/>
  <c r="R30"/>
  <c r="N30"/>
  <c r="O30"/>
  <c r="P30"/>
  <c r="Q30"/>
  <c r="O15"/>
  <c r="Q15"/>
  <c r="P15"/>
  <c r="N15"/>
  <c r="R15"/>
  <c r="R31"/>
  <c r="P31"/>
  <c r="O31"/>
  <c r="N31"/>
  <c r="Q31"/>
  <c r="N42"/>
  <c r="Q42"/>
  <c r="O42"/>
  <c r="R42"/>
  <c r="P42"/>
  <c r="Q61"/>
  <c r="N61"/>
  <c r="R61"/>
  <c r="P61"/>
  <c r="O61"/>
  <c r="R28"/>
  <c r="O28"/>
  <c r="N28"/>
  <c r="Q28"/>
  <c r="P28"/>
  <c r="P54"/>
  <c r="Q54"/>
  <c r="O54"/>
  <c r="R54"/>
  <c r="N54"/>
  <c r="P47"/>
  <c r="R47"/>
  <c r="N47"/>
  <c r="O47"/>
  <c r="Q47"/>
  <c r="R25"/>
  <c r="Q25"/>
  <c r="O25"/>
  <c r="N25"/>
  <c r="P25"/>
  <c r="Q12"/>
  <c r="R12"/>
  <c r="P12"/>
  <c r="N12"/>
  <c r="O12"/>
  <c r="O21"/>
  <c r="N21"/>
  <c r="R21"/>
  <c r="Q21"/>
  <c r="P21"/>
  <c r="P22"/>
  <c r="R22"/>
  <c r="O22"/>
  <c r="N22"/>
  <c r="Q22"/>
  <c r="O24"/>
  <c r="R24"/>
  <c r="Q24"/>
  <c r="P24"/>
  <c r="N24"/>
  <c r="N18"/>
  <c r="R18"/>
  <c r="O18"/>
  <c r="P18"/>
  <c r="Q18"/>
  <c r="R29"/>
  <c r="O29"/>
  <c r="Q29"/>
  <c r="P29"/>
  <c r="N29"/>
  <c r="Q64"/>
  <c r="P64"/>
  <c r="R64"/>
  <c r="N64"/>
  <c r="O64"/>
  <c r="O19"/>
  <c r="N19"/>
  <c r="R19"/>
  <c r="Q19"/>
  <c r="P19"/>
  <c r="N58"/>
  <c r="R58"/>
  <c r="Q58"/>
  <c r="P58"/>
  <c r="O58"/>
  <c r="N57"/>
  <c r="Q57"/>
  <c r="R57"/>
  <c r="P57"/>
  <c r="O57"/>
  <c r="P60"/>
  <c r="Q60"/>
  <c r="O60"/>
  <c r="N60"/>
  <c r="R60"/>
  <c r="R50"/>
  <c r="O50"/>
  <c r="P50"/>
  <c r="Q50"/>
  <c r="N50"/>
  <c r="P38"/>
  <c r="N38"/>
  <c r="O38"/>
  <c r="Q38"/>
  <c r="R38"/>
  <c r="P17"/>
  <c r="N17"/>
  <c r="R17"/>
  <c r="Q17"/>
  <c r="O17"/>
  <c r="P20"/>
  <c r="R20"/>
  <c r="Q20"/>
  <c r="O20"/>
  <c r="N20"/>
  <c r="Q23"/>
  <c r="P23"/>
  <c r="O23"/>
  <c r="N23"/>
  <c r="R23"/>
  <c r="R33"/>
  <c r="P33"/>
  <c r="O33"/>
  <c r="N33"/>
  <c r="Q33"/>
  <c r="P26"/>
  <c r="Q26"/>
  <c r="R26"/>
  <c r="O26"/>
  <c r="N26"/>
  <c r="O52"/>
  <c r="N52"/>
  <c r="R52"/>
  <c r="Q52"/>
  <c r="P52"/>
  <c r="P14"/>
  <c r="O14"/>
  <c r="N14"/>
  <c r="Q14"/>
  <c r="R14"/>
  <c r="N16"/>
  <c r="O16"/>
  <c r="P16"/>
  <c r="R16"/>
  <c r="Q16"/>
  <c r="Q45"/>
  <c r="P45"/>
  <c r="R45"/>
  <c r="O45"/>
  <c r="N45"/>
  <c r="R51"/>
  <c r="Q51"/>
  <c r="N51"/>
  <c r="P51"/>
  <c r="O51"/>
  <c r="E23"/>
  <c r="F23"/>
  <c r="H23"/>
  <c r="G23"/>
  <c r="I23"/>
  <c r="E24" l="1"/>
  <c r="F24"/>
  <c r="H24"/>
  <c r="G24"/>
  <c r="I24"/>
  <c r="E25" l="1"/>
  <c r="F25"/>
  <c r="G25"/>
  <c r="H25"/>
  <c r="I25"/>
  <c r="M68" i="2" l="1"/>
  <c r="I26" i="10"/>
  <c r="E26"/>
  <c r="F26"/>
  <c r="G26"/>
  <c r="H26"/>
  <c r="H27" l="1"/>
  <c r="I27"/>
  <c r="E27"/>
  <c r="F27"/>
  <c r="G27"/>
  <c r="G28" l="1"/>
  <c r="H28"/>
  <c r="I28"/>
  <c r="E28"/>
  <c r="F28"/>
  <c r="F29" l="1"/>
  <c r="G29"/>
  <c r="H29"/>
  <c r="I29"/>
  <c r="E29"/>
  <c r="E30" l="1"/>
  <c r="F30"/>
  <c r="G30"/>
  <c r="H30"/>
  <c r="I30"/>
  <c r="M69" i="2" l="1"/>
  <c r="E31" i="10"/>
  <c r="F31"/>
  <c r="H31"/>
  <c r="G31"/>
  <c r="I31"/>
  <c r="E32" l="1"/>
  <c r="G32"/>
  <c r="F32"/>
  <c r="H32"/>
  <c r="I32"/>
  <c r="E33" l="1"/>
  <c r="F33"/>
  <c r="G33"/>
  <c r="H33"/>
  <c r="I33"/>
  <c r="I34" l="1"/>
  <c r="F34"/>
  <c r="G34"/>
  <c r="H34"/>
  <c r="E34"/>
  <c r="H35" l="1"/>
  <c r="I35"/>
  <c r="E35"/>
  <c r="F35"/>
  <c r="G35"/>
  <c r="M70" i="2" l="1"/>
  <c r="G36" i="10"/>
  <c r="H36"/>
  <c r="I36"/>
  <c r="E36"/>
  <c r="F36"/>
  <c r="F37" l="1"/>
  <c r="G37"/>
  <c r="H37"/>
  <c r="I37"/>
  <c r="E37"/>
  <c r="E38" l="1"/>
  <c r="F38"/>
  <c r="G38"/>
  <c r="I38"/>
  <c r="H38"/>
  <c r="E39" l="1"/>
  <c r="F39"/>
  <c r="G39"/>
  <c r="H39"/>
  <c r="I39"/>
  <c r="E40" l="1"/>
  <c r="G40"/>
  <c r="F40"/>
  <c r="H40"/>
  <c r="I40"/>
  <c r="M71" i="2" l="1"/>
  <c r="E41" i="10"/>
  <c r="F41"/>
  <c r="G41"/>
  <c r="H41"/>
  <c r="I41"/>
  <c r="I42" l="1"/>
  <c r="E42"/>
  <c r="F42"/>
  <c r="G42"/>
  <c r="H42"/>
  <c r="H43" l="1"/>
  <c r="I43"/>
  <c r="E43"/>
  <c r="F43"/>
  <c r="G43"/>
  <c r="G44" l="1"/>
  <c r="H44"/>
  <c r="I44"/>
  <c r="E44"/>
  <c r="F44"/>
  <c r="F45" l="1"/>
  <c r="G45"/>
  <c r="H45"/>
  <c r="I45"/>
  <c r="E45"/>
  <c r="M72" i="2" l="1"/>
  <c r="E46" i="10"/>
  <c r="F46"/>
  <c r="G46"/>
  <c r="H46"/>
  <c r="I46"/>
  <c r="E47" l="1"/>
  <c r="F47"/>
  <c r="H47"/>
  <c r="G47"/>
  <c r="I47"/>
  <c r="E48" l="1"/>
  <c r="F48"/>
  <c r="G48"/>
  <c r="H48"/>
  <c r="I48"/>
  <c r="F49" l="1"/>
  <c r="E49"/>
  <c r="G49"/>
  <c r="H49"/>
  <c r="I49"/>
  <c r="I50" l="1"/>
  <c r="E50"/>
  <c r="F50"/>
  <c r="G50"/>
  <c r="H50"/>
  <c r="M73" i="2" l="1"/>
  <c r="H51" i="10"/>
  <c r="I51"/>
  <c r="E51"/>
  <c r="F51"/>
  <c r="G51"/>
  <c r="G52" l="1"/>
  <c r="H52"/>
  <c r="I52"/>
  <c r="E52"/>
  <c r="F52"/>
  <c r="F53" l="1"/>
  <c r="G53"/>
  <c r="H53"/>
  <c r="I53"/>
  <c r="E53"/>
  <c r="E54" l="1"/>
  <c r="F54"/>
  <c r="G54"/>
  <c r="I54"/>
  <c r="H54"/>
  <c r="E55" l="1"/>
  <c r="F55"/>
  <c r="G55"/>
  <c r="H55"/>
  <c r="I55"/>
  <c r="M74" i="2" l="1"/>
  <c r="E56" i="10"/>
  <c r="G56"/>
  <c r="F56"/>
  <c r="H56"/>
  <c r="I56"/>
  <c r="E57" l="1"/>
  <c r="F57"/>
  <c r="G57"/>
  <c r="H57"/>
  <c r="I57"/>
  <c r="I58" l="1"/>
  <c r="E58"/>
  <c r="F58"/>
  <c r="G58"/>
  <c r="H58"/>
  <c r="H59" l="1"/>
  <c r="I59"/>
  <c r="E59"/>
  <c r="F59"/>
  <c r="G59"/>
  <c r="G60" l="1"/>
  <c r="H60"/>
  <c r="I60"/>
  <c r="E60"/>
  <c r="F60"/>
  <c r="M75" i="2" l="1"/>
  <c r="F61" i="10"/>
  <c r="G61"/>
  <c r="H61"/>
  <c r="I61"/>
  <c r="E61"/>
  <c r="E62" l="1"/>
  <c r="F62"/>
  <c r="G62"/>
  <c r="H62"/>
  <c r="I62"/>
  <c r="E63" l="1"/>
  <c r="F63"/>
  <c r="H63"/>
  <c r="G63"/>
  <c r="I63"/>
  <c r="E64" l="1"/>
  <c r="G64"/>
  <c r="F64"/>
  <c r="H64"/>
  <c r="I64"/>
  <c r="E65" l="1"/>
  <c r="F65"/>
  <c r="G65"/>
  <c r="H65"/>
  <c r="I65"/>
  <c r="M76" i="2" l="1"/>
</calcChain>
</file>

<file path=xl/sharedStrings.xml><?xml version="1.0" encoding="utf-8"?>
<sst xmlns="http://schemas.openxmlformats.org/spreadsheetml/2006/main" count="187" uniqueCount="125">
  <si>
    <t>BHP</t>
  </si>
  <si>
    <t>MPH</t>
  </si>
  <si>
    <t>lbs</t>
  </si>
  <si>
    <t>knots</t>
  </si>
  <si>
    <t>feet</t>
  </si>
  <si>
    <t>kg</t>
  </si>
  <si>
    <t>Slip %</t>
  </si>
  <si>
    <t>RPM</t>
  </si>
  <si>
    <t>Shaft RPM</t>
  </si>
  <si>
    <t>TS MPH</t>
  </si>
  <si>
    <t>Gear Ratio</t>
  </si>
  <si>
    <t>Approximate Speed</t>
  </si>
  <si>
    <t>10% Slip MPH</t>
  </si>
  <si>
    <t>(1)</t>
  </si>
  <si>
    <t>(2)</t>
  </si>
  <si>
    <t>DIAMETER-HP-RPM Formula</t>
  </si>
  <si>
    <t>Finding diameter from HP and RPM</t>
  </si>
  <si>
    <t>(from Propeller Handbook by Dave Gerr)</t>
  </si>
  <si>
    <t xml:space="preserve">BHP </t>
  </si>
  <si>
    <t>=</t>
  </si>
  <si>
    <t>Engine Brake Horsepower</t>
  </si>
  <si>
    <t>SHP</t>
  </si>
  <si>
    <t>Engine RPM</t>
  </si>
  <si>
    <t>RATIO</t>
  </si>
  <si>
    <t>SRPM</t>
  </si>
  <si>
    <t>D</t>
  </si>
  <si>
    <t>*</t>
  </si>
  <si>
    <t>/</t>
  </si>
  <si>
    <t>Diameter</t>
  </si>
  <si>
    <t>Diameter (rounded)</t>
  </si>
  <si>
    <t>Prop Diameter for increased power levels</t>
  </si>
  <si>
    <t>Shaft Horsepower</t>
  </si>
  <si>
    <t>Values for BHP (Brake Horsepower) , Engine RPM (RPM) and Gear ratio (RATIO)</t>
  </si>
  <si>
    <r>
      <rPr>
        <i/>
        <sz val="9"/>
        <color theme="1"/>
        <rFont val="Calibri"/>
        <family val="2"/>
        <scheme val="minor"/>
      </rPr>
      <t xml:space="preserve">Notes : </t>
    </r>
    <r>
      <rPr>
        <b/>
        <i/>
        <sz val="9"/>
        <color theme="1"/>
        <rFont val="Calibri"/>
        <family val="2"/>
        <scheme val="minor"/>
      </rPr>
      <t>TS</t>
    </r>
    <r>
      <rPr>
        <i/>
        <sz val="9"/>
        <color theme="1"/>
        <rFont val="Calibri"/>
        <family val="2"/>
        <scheme val="minor"/>
      </rPr>
      <t xml:space="preserve"> = Theoretical Speed (MPH)</t>
    </r>
  </si>
  <si>
    <t>Theoretical Speed Table</t>
  </si>
  <si>
    <t xml:space="preserve">Shaft RPM </t>
  </si>
  <si>
    <t>Kts</t>
  </si>
  <si>
    <t>C</t>
  </si>
  <si>
    <t>(</t>
  </si>
  <si>
    <t>LB</t>
  </si>
  <si>
    <t>)</t>
  </si>
  <si>
    <t>Crouch's Planing Speed Formula</t>
  </si>
  <si>
    <t>Speed in knots = Boat speed, V</t>
  </si>
  <si>
    <t>Constant chosen for the type of vessel being considered</t>
  </si>
  <si>
    <t>Displacement in pounds</t>
  </si>
  <si>
    <t>Horsepower at the propeller shaft.  SHP = ( BHP * 0.97 ) * ( 100 - (0.015 * number of bearings)  / 100)</t>
  </si>
  <si>
    <t>Kts =</t>
  </si>
  <si>
    <t>C =</t>
  </si>
  <si>
    <t>LB =</t>
  </si>
  <si>
    <t>SHP =</t>
  </si>
  <si>
    <t xml:space="preserve">Kts = </t>
  </si>
  <si>
    <r>
      <t>C / (LB/SHP)</t>
    </r>
    <r>
      <rPr>
        <b/>
        <vertAlign val="superscript"/>
        <sz val="10"/>
        <rFont val="Arial"/>
        <family val="2"/>
      </rPr>
      <t>0.5</t>
    </r>
  </si>
  <si>
    <t xml:space="preserve">Engine Horsepower  </t>
  </si>
  <si>
    <t xml:space="preserve">Engine R.P.M. (max)   </t>
  </si>
  <si>
    <t xml:space="preserve">Engine Torque ft/lb  </t>
  </si>
  <si>
    <t xml:space="preserve">SHP - Shaft Horsepower at gearbox output  </t>
  </si>
  <si>
    <t xml:space="preserve">Percentage power loss due to shaft bearings  </t>
  </si>
  <si>
    <t xml:space="preserve">Shaft Horsepower at propeller  </t>
  </si>
  <si>
    <t xml:space="preserve">Propeller RPM  </t>
  </si>
  <si>
    <t xml:space="preserve">Propeller Torque ft/lb  </t>
  </si>
  <si>
    <t xml:space="preserve">Gearbox Ratio  </t>
  </si>
  <si>
    <t>P</t>
  </si>
  <si>
    <t xml:space="preserve">Two blade propeller  </t>
  </si>
  <si>
    <t xml:space="preserve">Four blade propeller  </t>
  </si>
  <si>
    <t xml:space="preserve">  Where :</t>
  </si>
  <si>
    <t xml:space="preserve">Approx maximum speed attainable (knots)  </t>
  </si>
  <si>
    <t xml:space="preserve">Approx maximum speed attainable (MPH)  </t>
  </si>
  <si>
    <t xml:space="preserve">Propeller Diameter in inches  </t>
  </si>
  <si>
    <t xml:space="preserve">80% of max prop shaft rpm  </t>
  </si>
  <si>
    <t xml:space="preserve">Desired speed expressed as feet per minute  </t>
  </si>
  <si>
    <t xml:space="preserve">Desired speed / max prop shaft rpm to give prop feet per minute  </t>
  </si>
  <si>
    <t xml:space="preserve">Theoretical required prop pitch in inches  </t>
  </si>
  <si>
    <t xml:space="preserve">Estimated prop slip at required top speed  </t>
  </si>
  <si>
    <t xml:space="preserve">Required prop pitch for top speed  </t>
  </si>
  <si>
    <t xml:space="preserve">BHP  </t>
  </si>
  <si>
    <t xml:space="preserve">Max RPM  </t>
  </si>
  <si>
    <t xml:space="preserve">Gear ratio  </t>
  </si>
  <si>
    <t xml:space="preserve">Displacement   </t>
  </si>
  <si>
    <t xml:space="preserve">Waterline length  </t>
  </si>
  <si>
    <t xml:space="preserve">Desired cruise  </t>
  </si>
  <si>
    <t xml:space="preserve">Desired max speed  </t>
  </si>
  <si>
    <t xml:space="preserve">Speed:Length Ratio  </t>
  </si>
  <si>
    <t xml:space="preserve">Pounds per Shaft Horsepower available  </t>
  </si>
  <si>
    <t xml:space="preserve">Hull Constant  </t>
  </si>
  <si>
    <t>Theor MPH</t>
  </si>
  <si>
    <r>
      <t>PSI = 1.9 * V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 xml:space="preserve"> * F</t>
    </r>
    <r>
      <rPr>
        <vertAlign val="subscript"/>
        <sz val="10"/>
        <rFont val="Arial"/>
        <family val="2"/>
      </rPr>
      <t>t</t>
    </r>
    <r>
      <rPr>
        <vertAlign val="superscript"/>
        <sz val="10"/>
        <rFont val="Arial"/>
        <family val="2"/>
      </rPr>
      <t>0.08</t>
    </r>
  </si>
  <si>
    <t xml:space="preserve">Strut drop (inches)  </t>
  </si>
  <si>
    <t>ft</t>
  </si>
  <si>
    <t>inches</t>
  </si>
  <si>
    <t xml:space="preserve">Maximum allowable Blade Loading for the onset of cavitation (PSI)  </t>
  </si>
  <si>
    <t>The speed of water at the propeller in knots.  Assume 96 percent of total boat speed.</t>
  </si>
  <si>
    <t>The depth of immersion of the propeller shaft centerline (in feet).</t>
  </si>
  <si>
    <t>The pressure, in pounds per square inch, at which cavitation is likely to begin.</t>
  </si>
  <si>
    <r>
      <t xml:space="preserve">PSI </t>
    </r>
    <r>
      <rPr>
        <sz val="10"/>
        <rFont val="Arial"/>
        <family val="2"/>
      </rPr>
      <t>=</t>
    </r>
  </si>
  <si>
    <r>
      <t>V</t>
    </r>
    <r>
      <rPr>
        <b/>
        <vertAlign val="subscript"/>
        <sz val="10"/>
        <rFont val="Arial"/>
        <family val="2"/>
      </rPr>
      <t xml:space="preserve">a  </t>
    </r>
    <r>
      <rPr>
        <sz val="10"/>
        <rFont val="Arial"/>
        <family val="2"/>
      </rPr>
      <t>=</t>
    </r>
    <r>
      <rPr>
        <b/>
        <sz val="10"/>
        <rFont val="Arial"/>
        <family val="2"/>
      </rPr>
      <t xml:space="preserve"> </t>
    </r>
  </si>
  <si>
    <r>
      <t>F</t>
    </r>
    <r>
      <rPr>
        <b/>
        <vertAlign val="subscript"/>
        <sz val="10"/>
        <rFont val="Arial"/>
        <family val="2"/>
      </rPr>
      <t>t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=</t>
    </r>
    <r>
      <rPr>
        <b/>
        <sz val="10"/>
        <rFont val="Arial"/>
        <family val="2"/>
      </rPr>
      <t xml:space="preserve"> </t>
    </r>
  </si>
  <si>
    <t>Allowable Blade Loading Formula</t>
  </si>
  <si>
    <t>Where :</t>
  </si>
  <si>
    <r>
      <rPr>
        <b/>
        <sz val="10"/>
        <rFont val="Arial"/>
        <family val="2"/>
      </rPr>
      <t>PSI = 1.9 * V</t>
    </r>
    <r>
      <rPr>
        <b/>
        <vertAlign val="subscript"/>
        <sz val="10"/>
        <rFont val="Arial"/>
        <family val="2"/>
      </rPr>
      <t>a</t>
    </r>
    <r>
      <rPr>
        <b/>
        <sz val="10"/>
        <rFont val="Arial"/>
        <family val="2"/>
      </rPr>
      <t xml:space="preserve"> * F</t>
    </r>
    <r>
      <rPr>
        <b/>
        <vertAlign val="subscript"/>
        <sz val="10"/>
        <rFont val="Arial"/>
        <family val="2"/>
      </rPr>
      <t>t</t>
    </r>
    <r>
      <rPr>
        <b/>
        <vertAlign val="superscript"/>
        <sz val="10"/>
        <rFont val="Arial"/>
        <family val="2"/>
      </rPr>
      <t>0.08</t>
    </r>
  </si>
  <si>
    <t>Modified PropCalc spreadsheet prepared by Paul Kane, Kane Custom Boats Ltd., Chelsea Quebec</t>
  </si>
  <si>
    <t xml:space="preserve">Building the Glen-L Hot Rod :  </t>
  </si>
  <si>
    <t>Enter gearbox ratios</t>
  </si>
  <si>
    <t xml:space="preserve">For planing hulls, where C= 150 for runabout, </t>
  </si>
  <si>
    <t>190 for fast, 210 for race.</t>
  </si>
  <si>
    <t>http://www.KaneCustomBoats.com</t>
  </si>
  <si>
    <t xml:space="preserve"># of bearings between gearbox and propeller  </t>
  </si>
  <si>
    <t>Shaft    RPM</t>
  </si>
  <si>
    <t xml:space="preserve">Propeller Pitch   </t>
  </si>
  <si>
    <t xml:space="preserve">Gear Ratio   </t>
  </si>
  <si>
    <t xml:space="preserve">MAX RPM   </t>
  </si>
  <si>
    <t>Required for blade loading calculation</t>
  </si>
  <si>
    <t xml:space="preserve">Diameter (D) and Pitch (P)   </t>
  </si>
  <si>
    <t xml:space="preserve">Propeller Pitch  </t>
  </si>
  <si>
    <t xml:space="preserve">Gear Ratio  </t>
  </si>
  <si>
    <t>Rules of thumb</t>
  </si>
  <si>
    <t xml:space="preserve">• One inch diameter = 2.5 inches of pitch. </t>
  </si>
  <si>
    <t>• Two inches extra pitch will cut engine rpm by 450.</t>
  </si>
  <si>
    <t>Prop Diameter for RPM</t>
  </si>
  <si>
    <r>
      <t xml:space="preserve">See </t>
    </r>
    <r>
      <rPr>
        <b/>
        <i/>
        <sz val="10"/>
        <color rgb="FFFF0000"/>
        <rFont val="Arial"/>
        <family val="2"/>
      </rPr>
      <t xml:space="preserve">Speed Table </t>
    </r>
    <r>
      <rPr>
        <i/>
        <sz val="10"/>
        <color rgb="FFFF0000"/>
        <rFont val="Arial"/>
        <family val="2"/>
      </rPr>
      <t xml:space="preserve">and </t>
    </r>
    <r>
      <rPr>
        <b/>
        <i/>
        <sz val="10"/>
        <color rgb="FFFF0000"/>
        <rFont val="Arial"/>
        <family val="2"/>
      </rPr>
      <t xml:space="preserve">Diameter-HP-RPM </t>
    </r>
    <r>
      <rPr>
        <i/>
        <sz val="10"/>
        <color rgb="FFFF0000"/>
        <rFont val="Arial"/>
        <family val="2"/>
      </rPr>
      <t>worksheets (at bottom of screen) for more details.</t>
    </r>
  </si>
  <si>
    <t>PropCalcPlus Propeller &amp; Gearing Calculator</t>
  </si>
  <si>
    <t>Enter data in Blue cells.  Computed values will display in Green and Yellow cells.</t>
  </si>
  <si>
    <t xml:space="preserve">Three blade propeller  </t>
  </si>
  <si>
    <t xml:space="preserve">Propeller for maximum speed  </t>
  </si>
  <si>
    <t>Diameter HP-RPM Formula</t>
  </si>
  <si>
    <t xml:space="preserve">Three blade Cupped propeller  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</si>
</sst>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dd\-mm\-yyyy\ h:mm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i/>
      <sz val="8"/>
      <color rgb="FFFF0000"/>
      <name val="Arial"/>
      <family val="2"/>
    </font>
    <font>
      <sz val="8"/>
      <color rgb="FF0070C0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u/>
      <sz val="8"/>
      <color indexed="12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vertAlign val="subscript"/>
      <sz val="10"/>
      <name val="Arial"/>
      <family val="2"/>
    </font>
    <font>
      <sz val="9"/>
      <name val="Arial"/>
      <family val="2"/>
    </font>
    <font>
      <b/>
      <vertAlign val="subscript"/>
      <sz val="10"/>
      <name val="Arial"/>
      <family val="2"/>
    </font>
    <font>
      <i/>
      <sz val="10"/>
      <name val="Arial"/>
      <family val="2"/>
    </font>
    <font>
      <u/>
      <sz val="9"/>
      <color indexed="12"/>
      <name val="Arial"/>
      <family val="2"/>
    </font>
    <font>
      <sz val="10"/>
      <color rgb="FF0070C0"/>
      <name val="Arial"/>
      <family val="2"/>
    </font>
    <font>
      <i/>
      <sz val="10"/>
      <name val="Calibri"/>
      <family val="2"/>
    </font>
    <font>
      <u/>
      <sz val="10"/>
      <color indexed="12"/>
      <name val="Calibri"/>
      <family val="2"/>
    </font>
    <font>
      <i/>
      <sz val="10"/>
      <color theme="1"/>
      <name val="Calibri"/>
      <family val="2"/>
    </font>
    <font>
      <i/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u/>
      <sz val="9"/>
      <color indexed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10"/>
      <color rgb="FFFF0000"/>
      <name val="Arial"/>
      <family val="2"/>
    </font>
    <font>
      <i/>
      <sz val="10"/>
      <color theme="1" tint="4.9989318521683403E-2"/>
      <name val="Arial"/>
      <family val="2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</cellStyleXfs>
  <cellXfs count="330">
    <xf numFmtId="0" fontId="0" fillId="0" borderId="0" xfId="0"/>
    <xf numFmtId="0" fontId="4" fillId="0" borderId="0" xfId="0" applyFont="1"/>
    <xf numFmtId="0" fontId="0" fillId="0" borderId="0" xfId="0" applyBorder="1"/>
    <xf numFmtId="0" fontId="0" fillId="0" borderId="0" xfId="0" applyFill="1" applyBorder="1"/>
    <xf numFmtId="1" fontId="0" fillId="0" borderId="0" xfId="0" applyNumberFormat="1" applyAlignment="1">
      <alignment horizontal="center" vertical="center"/>
    </xf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" fontId="0" fillId="0" borderId="0" xfId="0" applyNumberFormat="1" applyBorder="1" applyAlignment="1">
      <alignment horizontal="center" vertical="center"/>
    </xf>
    <xf numFmtId="0" fontId="0" fillId="0" borderId="12" xfId="0" applyBorder="1"/>
    <xf numFmtId="1" fontId="0" fillId="0" borderId="0" xfId="0" applyNumberFormat="1" applyBorder="1"/>
    <xf numFmtId="1" fontId="0" fillId="0" borderId="0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1" fontId="0" fillId="0" borderId="7" xfId="0" applyNumberFormat="1" applyBorder="1" applyAlignment="1">
      <alignment horizontal="center" vertical="center"/>
    </xf>
    <xf numFmtId="0" fontId="0" fillId="0" borderId="8" xfId="0" applyBorder="1"/>
    <xf numFmtId="1" fontId="0" fillId="0" borderId="1" xfId="0" applyNumberFormat="1" applyBorder="1" applyAlignment="1">
      <alignment vertical="center"/>
    </xf>
    <xf numFmtId="49" fontId="0" fillId="0" borderId="1" xfId="0" applyNumberFormat="1" applyBorder="1"/>
    <xf numFmtId="49" fontId="4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2"/>
    <xf numFmtId="2" fontId="2" fillId="0" borderId="0" xfId="2" applyNumberFormat="1"/>
    <xf numFmtId="0" fontId="7" fillId="0" borderId="0" xfId="2" applyFont="1"/>
    <xf numFmtId="0" fontId="7" fillId="5" borderId="1" xfId="2" applyNumberFormat="1" applyFont="1" applyFill="1" applyBorder="1" applyAlignment="1">
      <alignment horizontal="center"/>
    </xf>
    <xf numFmtId="0" fontId="7" fillId="5" borderId="1" xfId="2" applyFont="1" applyFill="1" applyBorder="1" applyAlignment="1">
      <alignment horizontal="center"/>
    </xf>
    <xf numFmtId="0" fontId="2" fillId="0" borderId="1" xfId="2" applyBorder="1" applyAlignment="1">
      <alignment horizontal="center"/>
    </xf>
    <xf numFmtId="2" fontId="2" fillId="0" borderId="1" xfId="2" applyNumberFormat="1" applyBorder="1" applyAlignment="1">
      <alignment horizontal="center"/>
    </xf>
    <xf numFmtId="0" fontId="2" fillId="3" borderId="1" xfId="2" applyFill="1" applyBorder="1" applyAlignment="1">
      <alignment horizontal="center"/>
    </xf>
    <xf numFmtId="2" fontId="2" fillId="3" borderId="1" xfId="2" applyNumberFormat="1" applyFill="1" applyBorder="1" applyAlignment="1">
      <alignment horizontal="center"/>
    </xf>
    <xf numFmtId="1" fontId="2" fillId="0" borderId="0" xfId="2" applyNumberFormat="1"/>
    <xf numFmtId="1" fontId="2" fillId="0" borderId="1" xfId="2" applyNumberFormat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right"/>
    </xf>
    <xf numFmtId="2" fontId="2" fillId="0" borderId="0" xfId="2" applyNumberFormat="1" applyFont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3" fillId="0" borderId="0" xfId="0" applyFont="1" applyBorder="1" applyAlignment="1"/>
    <xf numFmtId="49" fontId="9" fillId="0" borderId="0" xfId="0" applyNumberFormat="1" applyFont="1" applyAlignment="1">
      <alignment horizontal="center"/>
    </xf>
    <xf numFmtId="0" fontId="1" fillId="0" borderId="0" xfId="3"/>
    <xf numFmtId="0" fontId="7" fillId="0" borderId="0" xfId="3" applyFont="1" applyAlignment="1">
      <alignment horizontal="left"/>
    </xf>
    <xf numFmtId="0" fontId="7" fillId="0" borderId="1" xfId="3" applyFont="1" applyBorder="1" applyAlignment="1">
      <alignment horizontal="center"/>
    </xf>
    <xf numFmtId="0" fontId="1" fillId="0" borderId="1" xfId="3" applyBorder="1" applyAlignment="1">
      <alignment horizontal="center"/>
    </xf>
    <xf numFmtId="0" fontId="1" fillId="0" borderId="0" xfId="3" applyAlignment="1">
      <alignment horizontal="center"/>
    </xf>
    <xf numFmtId="0" fontId="12" fillId="0" borderId="0" xfId="3" applyFont="1" applyAlignment="1">
      <alignment horizontal="center"/>
    </xf>
    <xf numFmtId="0" fontId="1" fillId="0" borderId="3" xfId="3" applyBorder="1" applyAlignment="1">
      <alignment horizontal="center"/>
    </xf>
    <xf numFmtId="1" fontId="1" fillId="0" borderId="3" xfId="3" applyNumberFormat="1" applyBorder="1" applyAlignment="1">
      <alignment horizontal="center"/>
    </xf>
    <xf numFmtId="0" fontId="1" fillId="0" borderId="0" xfId="3" applyBorder="1" applyAlignment="1">
      <alignment horizontal="center"/>
    </xf>
    <xf numFmtId="0" fontId="7" fillId="5" borderId="1" xfId="3" applyFont="1" applyFill="1" applyBorder="1" applyAlignment="1">
      <alignment horizontal="center"/>
    </xf>
    <xf numFmtId="0" fontId="7" fillId="8" borderId="1" xfId="3" applyFont="1" applyFill="1" applyBorder="1" applyAlignment="1">
      <alignment horizontal="center"/>
    </xf>
    <xf numFmtId="0" fontId="1" fillId="0" borderId="1" xfId="3" applyFill="1" applyBorder="1" applyAlignment="1">
      <alignment horizontal="center"/>
    </xf>
    <xf numFmtId="0" fontId="1" fillId="5" borderId="1" xfId="3" applyFont="1" applyFill="1" applyBorder="1" applyAlignment="1">
      <alignment horizontal="center" vertical="center"/>
    </xf>
    <xf numFmtId="1" fontId="1" fillId="8" borderId="1" xfId="3" applyNumberFormat="1" applyFill="1" applyBorder="1" applyAlignment="1">
      <alignment horizontal="center"/>
    </xf>
    <xf numFmtId="0" fontId="1" fillId="6" borderId="1" xfId="3" applyFill="1" applyBorder="1" applyAlignment="1">
      <alignment horizontal="center"/>
    </xf>
    <xf numFmtId="1" fontId="1" fillId="6" borderId="1" xfId="3" applyNumberFormat="1" applyFill="1" applyBorder="1" applyAlignment="1">
      <alignment horizontal="center"/>
    </xf>
    <xf numFmtId="1" fontId="1" fillId="6" borderId="1" xfId="3" applyNumberFormat="1" applyFont="1" applyFill="1" applyBorder="1" applyAlignment="1">
      <alignment horizontal="center"/>
    </xf>
    <xf numFmtId="0" fontId="1" fillId="6" borderId="1" xfId="3" applyFont="1" applyFill="1" applyBorder="1" applyAlignment="1">
      <alignment horizontal="center"/>
    </xf>
    <xf numFmtId="0" fontId="1" fillId="5" borderId="1" xfId="3" applyFill="1" applyBorder="1" applyAlignment="1">
      <alignment horizontal="center"/>
    </xf>
    <xf numFmtId="2" fontId="1" fillId="0" borderId="3" xfId="3" applyNumberFormat="1" applyBorder="1" applyAlignment="1">
      <alignment horizontal="center"/>
    </xf>
    <xf numFmtId="0" fontId="7" fillId="0" borderId="0" xfId="3" applyFont="1" applyAlignment="1">
      <alignment horizontal="center"/>
    </xf>
    <xf numFmtId="165" fontId="13" fillId="0" borderId="0" xfId="3" applyNumberFormat="1" applyFont="1" applyAlignment="1">
      <alignment horizontal="center"/>
    </xf>
    <xf numFmtId="0" fontId="13" fillId="0" borderId="0" xfId="3" applyFont="1" applyAlignment="1">
      <alignment horizontal="center"/>
    </xf>
    <xf numFmtId="0" fontId="7" fillId="0" borderId="0" xfId="3" applyFont="1" applyBorder="1" applyAlignment="1">
      <alignment horizontal="center"/>
    </xf>
    <xf numFmtId="0" fontId="1" fillId="0" borderId="0" xfId="3" applyAlignment="1">
      <alignment horizontal="left"/>
    </xf>
    <xf numFmtId="1" fontId="1" fillId="0" borderId="0" xfId="3" applyNumberFormat="1" applyFill="1" applyBorder="1" applyAlignment="1">
      <alignment horizontal="center"/>
    </xf>
    <xf numFmtId="0" fontId="7" fillId="5" borderId="3" xfId="3" applyFont="1" applyFill="1" applyBorder="1" applyAlignment="1">
      <alignment horizontal="center"/>
    </xf>
    <xf numFmtId="1" fontId="7" fillId="5" borderId="1" xfId="2" applyNumberFormat="1" applyFont="1" applyFill="1" applyBorder="1" applyAlignment="1">
      <alignment horizontal="center"/>
    </xf>
    <xf numFmtId="2" fontId="7" fillId="5" borderId="1" xfId="2" applyNumberFormat="1" applyFont="1" applyFill="1" applyBorder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1" fillId="5" borderId="3" xfId="3" applyFill="1" applyBorder="1" applyAlignment="1">
      <alignment horizontal="center"/>
    </xf>
    <xf numFmtId="1" fontId="1" fillId="5" borderId="3" xfId="3" applyNumberFormat="1" applyFill="1" applyBorder="1" applyAlignment="1">
      <alignment horizontal="center"/>
    </xf>
    <xf numFmtId="0" fontId="1" fillId="0" borderId="3" xfId="3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2" applyFill="1" applyBorder="1" applyAlignment="1">
      <alignment horizontal="center"/>
    </xf>
    <xf numFmtId="1" fontId="2" fillId="0" borderId="1" xfId="2" applyNumberFormat="1" applyFill="1" applyBorder="1" applyAlignment="1">
      <alignment horizontal="center"/>
    </xf>
    <xf numFmtId="2" fontId="2" fillId="0" borderId="1" xfId="2" applyNumberFormat="1" applyFill="1" applyBorder="1" applyAlignment="1">
      <alignment horizontal="center"/>
    </xf>
    <xf numFmtId="1" fontId="1" fillId="0" borderId="3" xfId="3" applyNumberFormat="1" applyFill="1" applyBorder="1" applyAlignment="1">
      <alignment horizontal="center"/>
    </xf>
    <xf numFmtId="2" fontId="1" fillId="0" borderId="3" xfId="3" applyNumberForma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16" fillId="0" borderId="0" xfId="0" applyFont="1" applyAlignment="1">
      <alignment horizontal="right"/>
    </xf>
    <xf numFmtId="1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 vertical="center"/>
    </xf>
    <xf numFmtId="0" fontId="5" fillId="0" borderId="0" xfId="1" applyAlignment="1" applyProtection="1">
      <alignment horizontal="left"/>
    </xf>
    <xf numFmtId="0" fontId="0" fillId="0" borderId="0" xfId="0" applyAlignment="1">
      <alignment horizontal="left"/>
    </xf>
    <xf numFmtId="1" fontId="21" fillId="0" borderId="0" xfId="0" applyNumberFormat="1" applyFont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10" fontId="4" fillId="0" borderId="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0" fillId="0" borderId="0" xfId="0" applyNumberFormat="1" applyBorder="1"/>
    <xf numFmtId="0" fontId="3" fillId="0" borderId="12" xfId="0" applyFont="1" applyBorder="1" applyAlignment="1"/>
    <xf numFmtId="0" fontId="3" fillId="0" borderId="11" xfId="0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0" fillId="0" borderId="11" xfId="0" applyBorder="1"/>
    <xf numFmtId="0" fontId="0" fillId="0" borderId="0" xfId="0" applyBorder="1" applyAlignment="1"/>
    <xf numFmtId="0" fontId="4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right" wrapText="1"/>
    </xf>
    <xf numFmtId="1" fontId="4" fillId="0" borderId="0" xfId="0" applyNumberFormat="1" applyFont="1" applyFill="1" applyBorder="1"/>
    <xf numFmtId="1" fontId="4" fillId="10" borderId="1" xfId="0" applyNumberFormat="1" applyFont="1" applyFill="1" applyBorder="1" applyAlignment="1">
      <alignment horizontal="center"/>
    </xf>
    <xf numFmtId="1" fontId="4" fillId="10" borderId="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right"/>
    </xf>
    <xf numFmtId="0" fontId="3" fillId="0" borderId="0" xfId="0" applyFont="1" applyFill="1" applyBorder="1" applyAlignment="1"/>
    <xf numFmtId="1" fontId="4" fillId="0" borderId="0" xfId="0" applyNumberFormat="1" applyFont="1" applyFill="1" applyBorder="1" applyAlignment="1"/>
    <xf numFmtId="2" fontId="21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right"/>
    </xf>
    <xf numFmtId="0" fontId="0" fillId="11" borderId="1" xfId="0" applyFill="1" applyBorder="1" applyAlignment="1">
      <alignment horizontal="center" vertical="center"/>
    </xf>
    <xf numFmtId="1" fontId="0" fillId="11" borderId="1" xfId="0" applyNumberForma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0" xfId="0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4" fillId="0" borderId="0" xfId="0" applyFont="1" applyFill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/>
    <xf numFmtId="2" fontId="0" fillId="0" borderId="1" xfId="0" applyNumberFormat="1" applyFill="1" applyBorder="1" applyAlignment="1">
      <alignment horizontal="center"/>
    </xf>
    <xf numFmtId="0" fontId="8" fillId="0" borderId="0" xfId="0" applyFont="1" applyAlignment="1"/>
    <xf numFmtId="165" fontId="0" fillId="0" borderId="1" xfId="0" applyNumberFormat="1" applyBorder="1" applyAlignment="1">
      <alignment horizontal="center" vertical="center"/>
    </xf>
    <xf numFmtId="0" fontId="3" fillId="0" borderId="0" xfId="0" applyFont="1"/>
    <xf numFmtId="1" fontId="21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6" fillId="0" borderId="0" xfId="1" applyFont="1" applyAlignment="1" applyProtection="1"/>
    <xf numFmtId="0" fontId="2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49" fontId="27" fillId="0" borderId="0" xfId="0" applyNumberFormat="1" applyFont="1" applyAlignment="1">
      <alignment horizontal="left"/>
    </xf>
    <xf numFmtId="165" fontId="4" fillId="0" borderId="0" xfId="0" applyNumberFormat="1" applyFont="1"/>
    <xf numFmtId="0" fontId="18" fillId="0" borderId="0" xfId="1" applyFont="1" applyAlignment="1" applyProtection="1"/>
    <xf numFmtId="0" fontId="6" fillId="0" borderId="0" xfId="0" applyFont="1"/>
    <xf numFmtId="0" fontId="4" fillId="11" borderId="1" xfId="0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6" fillId="0" borderId="0" xfId="0" applyFont="1" applyFill="1" applyBorder="1" applyAlignment="1"/>
    <xf numFmtId="1" fontId="21" fillId="0" borderId="0" xfId="0" applyNumberFormat="1" applyFont="1" applyBorder="1" applyAlignment="1">
      <alignment horizontal="right"/>
    </xf>
    <xf numFmtId="1" fontId="0" fillId="0" borderId="0" xfId="0" applyNumberFormat="1" applyFill="1" applyBorder="1"/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1" applyAlignment="1" applyProtection="1">
      <alignment horizontal="left"/>
    </xf>
    <xf numFmtId="0" fontId="25" fillId="0" borderId="0" xfId="0" applyFont="1" applyAlignment="1">
      <alignment horizontal="right"/>
    </xf>
    <xf numFmtId="0" fontId="1" fillId="0" borderId="1" xfId="3" applyBorder="1" applyAlignment="1">
      <alignment horizontal="center"/>
    </xf>
    <xf numFmtId="0" fontId="1" fillId="0" borderId="1" xfId="3" applyFill="1" applyBorder="1" applyAlignment="1">
      <alignment horizontal="center"/>
    </xf>
    <xf numFmtId="1" fontId="0" fillId="4" borderId="1" xfId="0" applyNumberFormat="1" applyFill="1" applyBorder="1" applyAlignment="1" applyProtection="1">
      <alignment horizontal="center"/>
      <protection locked="0"/>
    </xf>
    <xf numFmtId="0" fontId="33" fillId="0" borderId="0" xfId="1" applyFont="1" applyAlignment="1" applyProtection="1"/>
    <xf numFmtId="0" fontId="34" fillId="0" borderId="0" xfId="2" applyFont="1" applyAlignment="1">
      <alignment horizontal="center"/>
    </xf>
    <xf numFmtId="0" fontId="35" fillId="0" borderId="0" xfId="0" applyFont="1" applyAlignment="1"/>
    <xf numFmtId="0" fontId="25" fillId="0" borderId="0" xfId="0" applyFont="1" applyAlignment="1">
      <alignment horizontal="left" indent="2"/>
    </xf>
    <xf numFmtId="0" fontId="7" fillId="0" borderId="0" xfId="3" applyFont="1" applyAlignment="1"/>
    <xf numFmtId="0" fontId="10" fillId="0" borderId="0" xfId="3" applyFont="1" applyAlignment="1"/>
    <xf numFmtId="0" fontId="11" fillId="0" borderId="0" xfId="3" applyFont="1" applyAlignment="1"/>
    <xf numFmtId="0" fontId="1" fillId="0" borderId="0" xfId="3" applyAlignment="1"/>
    <xf numFmtId="0" fontId="1" fillId="0" borderId="11" xfId="3" applyBorder="1" applyAlignment="1">
      <alignment horizontal="left" indent="1"/>
    </xf>
    <xf numFmtId="0" fontId="7" fillId="5" borderId="1" xfId="3" applyFont="1" applyFill="1" applyBorder="1" applyAlignment="1">
      <alignment horizontal="center" wrapText="1"/>
    </xf>
    <xf numFmtId="0" fontId="6" fillId="0" borderId="0" xfId="0" applyFont="1" applyFill="1" applyAlignment="1">
      <alignment horizontal="left" indent="1"/>
    </xf>
    <xf numFmtId="49" fontId="27" fillId="0" borderId="0" xfId="0" applyNumberFormat="1" applyFont="1" applyAlignment="1">
      <alignment horizontal="left" indent="1"/>
    </xf>
    <xf numFmtId="49" fontId="4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/>
    <xf numFmtId="0" fontId="4" fillId="0" borderId="11" xfId="0" applyFont="1" applyBorder="1" applyAlignment="1">
      <alignment horizontal="left" indent="1"/>
    </xf>
    <xf numFmtId="0" fontId="4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0" fillId="4" borderId="1" xfId="0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164" fontId="4" fillId="10" borderId="1" xfId="0" applyNumberFormat="1" applyFont="1" applyFill="1" applyBorder="1" applyAlignment="1">
      <alignment horizontal="center"/>
    </xf>
    <xf numFmtId="1" fontId="4" fillId="9" borderId="1" xfId="0" applyNumberFormat="1" applyFont="1" applyFill="1" applyBorder="1" applyAlignment="1" applyProtection="1">
      <alignment horizontal="center"/>
      <protection locked="0"/>
    </xf>
    <xf numFmtId="0" fontId="1" fillId="0" borderId="0" xfId="3" applyBorder="1" applyAlignment="1">
      <alignment horizontal="left" indent="1"/>
    </xf>
    <xf numFmtId="0" fontId="34" fillId="0" borderId="0" xfId="3" applyFont="1" applyAlignment="1"/>
    <xf numFmtId="2" fontId="2" fillId="10" borderId="1" xfId="2" applyNumberFormat="1" applyFill="1" applyBorder="1" applyAlignment="1">
      <alignment horizontal="center"/>
    </xf>
    <xf numFmtId="165" fontId="2" fillId="13" borderId="1" xfId="2" applyNumberFormat="1" applyFont="1" applyFill="1" applyBorder="1" applyAlignment="1" applyProtection="1">
      <alignment horizontal="center"/>
      <protection locked="0"/>
    </xf>
    <xf numFmtId="2" fontId="2" fillId="13" borderId="1" xfId="2" applyNumberFormat="1" applyFont="1" applyFill="1" applyBorder="1" applyAlignment="1" applyProtection="1">
      <alignment horizontal="center"/>
      <protection locked="0"/>
    </xf>
    <xf numFmtId="1" fontId="2" fillId="13" borderId="1" xfId="2" applyNumberFormat="1" applyFont="1" applyFill="1" applyBorder="1" applyAlignment="1" applyProtection="1">
      <alignment horizontal="center"/>
      <protection locked="0"/>
    </xf>
    <xf numFmtId="2" fontId="4" fillId="10" borderId="3" xfId="0" applyNumberFormat="1" applyFont="1" applyFill="1" applyBorder="1" applyAlignment="1">
      <alignment horizontal="center"/>
    </xf>
    <xf numFmtId="2" fontId="4" fillId="10" borderId="5" xfId="0" applyNumberFormat="1" applyFont="1" applyFill="1" applyBorder="1" applyAlignment="1">
      <alignment horizontal="center"/>
    </xf>
    <xf numFmtId="1" fontId="4" fillId="10" borderId="3" xfId="0" applyNumberFormat="1" applyFont="1" applyFill="1" applyBorder="1" applyAlignment="1">
      <alignment horizontal="center"/>
    </xf>
    <xf numFmtId="1" fontId="4" fillId="10" borderId="5" xfId="0" applyNumberFormat="1" applyFont="1" applyFill="1" applyBorder="1" applyAlignment="1">
      <alignment horizontal="center"/>
    </xf>
    <xf numFmtId="1" fontId="4" fillId="11" borderId="3" xfId="0" applyNumberFormat="1" applyFont="1" applyFill="1" applyBorder="1" applyAlignment="1">
      <alignment horizontal="center"/>
    </xf>
    <xf numFmtId="1" fontId="4" fillId="11" borderId="5" xfId="0" applyNumberFormat="1" applyFont="1" applyFill="1" applyBorder="1" applyAlignment="1">
      <alignment horizontal="center"/>
    </xf>
    <xf numFmtId="1" fontId="4" fillId="11" borderId="3" xfId="0" applyNumberFormat="1" applyFont="1" applyFill="1" applyBorder="1" applyAlignment="1">
      <alignment horizontal="center" vertical="center"/>
    </xf>
    <xf numFmtId="1" fontId="4" fillId="11" borderId="5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1" fontId="0" fillId="10" borderId="3" xfId="0" applyNumberFormat="1" applyFill="1" applyBorder="1" applyAlignment="1">
      <alignment horizontal="center"/>
    </xf>
    <xf numFmtId="1" fontId="0" fillId="10" borderId="4" xfId="0" applyNumberFormat="1" applyFill="1" applyBorder="1" applyAlignment="1">
      <alignment horizontal="center"/>
    </xf>
    <xf numFmtId="1" fontId="0" fillId="10" borderId="5" xfId="0" applyNumberFormat="1" applyFill="1" applyBorder="1" applyAlignment="1">
      <alignment horizontal="center"/>
    </xf>
    <xf numFmtId="1" fontId="4" fillId="11" borderId="1" xfId="0" applyNumberFormat="1" applyFont="1" applyFill="1" applyBorder="1" applyAlignment="1">
      <alignment horizontal="center"/>
    </xf>
    <xf numFmtId="1" fontId="0" fillId="11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0" fontId="0" fillId="11" borderId="1" xfId="0" applyNumberFormat="1" applyFill="1" applyBorder="1" applyAlignment="1">
      <alignment horizontal="center"/>
    </xf>
    <xf numFmtId="1" fontId="4" fillId="11" borderId="4" xfId="0" applyNumberFormat="1" applyFont="1" applyFill="1" applyBorder="1" applyAlignment="1">
      <alignment horizontal="center"/>
    </xf>
    <xf numFmtId="1" fontId="0" fillId="11" borderId="3" xfId="0" applyNumberFormat="1" applyFill="1" applyBorder="1" applyAlignment="1">
      <alignment horizontal="center"/>
    </xf>
    <xf numFmtId="1" fontId="0" fillId="11" borderId="4" xfId="0" applyNumberFormat="1" applyFill="1" applyBorder="1" applyAlignment="1">
      <alignment horizontal="center"/>
    </xf>
    <xf numFmtId="1" fontId="0" fillId="11" borderId="5" xfId="0" applyNumberFormat="1" applyFill="1" applyBorder="1" applyAlignment="1">
      <alignment horizontal="center"/>
    </xf>
    <xf numFmtId="10" fontId="0" fillId="11" borderId="3" xfId="0" applyNumberFormat="1" applyFill="1" applyBorder="1" applyAlignment="1">
      <alignment horizontal="center"/>
    </xf>
    <xf numFmtId="10" fontId="0" fillId="11" borderId="4" xfId="0" applyNumberFormat="1" applyFill="1" applyBorder="1" applyAlignment="1">
      <alignment horizontal="center"/>
    </xf>
    <xf numFmtId="10" fontId="0" fillId="11" borderId="5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2" fontId="0" fillId="0" borderId="0" xfId="0" applyNumberFormat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2" fontId="21" fillId="7" borderId="1" xfId="0" applyNumberFormat="1" applyFont="1" applyFill="1" applyBorder="1" applyAlignment="1">
      <alignment horizontal="center"/>
    </xf>
    <xf numFmtId="10" fontId="4" fillId="10" borderId="3" xfId="0" applyNumberFormat="1" applyFont="1" applyFill="1" applyBorder="1" applyAlignment="1">
      <alignment horizontal="center"/>
    </xf>
    <xf numFmtId="10" fontId="4" fillId="10" borderId="5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0" xfId="1" applyAlignment="1" applyProtection="1">
      <alignment horizontal="left"/>
      <protection locked="0"/>
    </xf>
    <xf numFmtId="166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1" fontId="4" fillId="10" borderId="4" xfId="0" applyNumberFormat="1" applyFont="1" applyFill="1" applyBorder="1" applyAlignment="1">
      <alignment horizontal="center"/>
    </xf>
    <xf numFmtId="0" fontId="25" fillId="0" borderId="0" xfId="0" applyFont="1" applyAlignment="1">
      <alignment horizontal="left" indent="2"/>
    </xf>
    <xf numFmtId="0" fontId="3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2" xfId="0" applyFont="1" applyBorder="1" applyAlignment="1">
      <alignment horizontal="right"/>
    </xf>
    <xf numFmtId="0" fontId="35" fillId="0" borderId="11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2" fontId="3" fillId="4" borderId="3" xfId="0" applyNumberFormat="1" applyFont="1" applyFill="1" applyBorder="1" applyAlignment="1" applyProtection="1">
      <alignment horizontal="center"/>
      <protection locked="0"/>
    </xf>
    <xf numFmtId="2" fontId="3" fillId="4" borderId="5" xfId="0" applyNumberFormat="1" applyFont="1" applyFill="1" applyBorder="1" applyAlignment="1" applyProtection="1">
      <alignment horizontal="center"/>
      <protection locked="0"/>
    </xf>
    <xf numFmtId="49" fontId="37" fillId="0" borderId="0" xfId="0" applyNumberFormat="1" applyFont="1" applyAlignment="1">
      <alignment horizontal="left" indent="1"/>
    </xf>
    <xf numFmtId="0" fontId="25" fillId="0" borderId="0" xfId="0" applyFont="1" applyAlignment="1">
      <alignment horizontal="left" indent="1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7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NumberFormat="1" applyFon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3" fillId="12" borderId="13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 vertical="top" wrapText="1"/>
    </xf>
    <xf numFmtId="0" fontId="0" fillId="12" borderId="14" xfId="0" applyFill="1" applyBorder="1" applyAlignment="1">
      <alignment vertical="top" wrapText="1"/>
    </xf>
    <xf numFmtId="0" fontId="3" fillId="12" borderId="13" xfId="0" applyFont="1" applyFill="1" applyBorder="1" applyAlignment="1">
      <alignment horizontal="center" wrapText="1"/>
    </xf>
    <xf numFmtId="0" fontId="0" fillId="12" borderId="14" xfId="0" applyFill="1" applyBorder="1" applyAlignment="1">
      <alignment wrapText="1"/>
    </xf>
    <xf numFmtId="1" fontId="4" fillId="11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5" fillId="0" borderId="11" xfId="0" applyFont="1" applyFill="1" applyBorder="1" applyAlignment="1">
      <alignment horizontal="left" indent="1"/>
    </xf>
    <xf numFmtId="0" fontId="25" fillId="0" borderId="0" xfId="0" applyFont="1" applyFill="1" applyBorder="1" applyAlignment="1">
      <alignment horizontal="left" indent="1"/>
    </xf>
    <xf numFmtId="0" fontId="6" fillId="0" borderId="0" xfId="0" applyFont="1" applyAlignment="1">
      <alignment horizontal="right"/>
    </xf>
    <xf numFmtId="0" fontId="6" fillId="0" borderId="12" xfId="0" applyFont="1" applyBorder="1" applyAlignment="1">
      <alignment horizontal="right"/>
    </xf>
    <xf numFmtId="1" fontId="21" fillId="0" borderId="0" xfId="0" applyNumberFormat="1" applyFont="1" applyAlignment="1">
      <alignment horizontal="right"/>
    </xf>
    <xf numFmtId="1" fontId="21" fillId="0" borderId="12" xfId="0" applyNumberFormat="1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1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6" fillId="0" borderId="12" xfId="0" applyFont="1" applyBorder="1" applyAlignment="1">
      <alignment horizontal="right"/>
    </xf>
    <xf numFmtId="0" fontId="3" fillId="12" borderId="1" xfId="0" applyFont="1" applyFill="1" applyBorder="1" applyAlignment="1">
      <alignment horizontal="center" vertical="top" wrapText="1"/>
    </xf>
    <xf numFmtId="0" fontId="0" fillId="12" borderId="1" xfId="0" applyFill="1" applyBorder="1" applyAlignment="1">
      <alignment vertical="top"/>
    </xf>
    <xf numFmtId="0" fontId="0" fillId="12" borderId="14" xfId="0" applyFill="1" applyBorder="1" applyAlignment="1">
      <alignment vertical="top"/>
    </xf>
    <xf numFmtId="0" fontId="3" fillId="12" borderId="1" xfId="0" applyFont="1" applyFill="1" applyBorder="1" applyAlignment="1">
      <alignment horizontal="center" wrapText="1"/>
    </xf>
    <xf numFmtId="0" fontId="0" fillId="12" borderId="1" xfId="0" applyFill="1" applyBorder="1" applyAlignment="1">
      <alignment wrapText="1"/>
    </xf>
    <xf numFmtId="0" fontId="7" fillId="0" borderId="0" xfId="2" applyFont="1" applyAlignment="1">
      <alignment horizontal="right"/>
    </xf>
    <xf numFmtId="0" fontId="34" fillId="0" borderId="0" xfId="2" applyFont="1" applyAlignment="1">
      <alignment horizontal="center"/>
    </xf>
    <xf numFmtId="166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right"/>
    </xf>
    <xf numFmtId="0" fontId="32" fillId="0" borderId="0" xfId="1" applyFont="1" applyAlignment="1" applyProtection="1">
      <alignment horizontal="left"/>
    </xf>
    <xf numFmtId="2" fontId="7" fillId="5" borderId="3" xfId="2" applyNumberFormat="1" applyFont="1" applyFill="1" applyBorder="1" applyAlignment="1">
      <alignment horizontal="center"/>
    </xf>
    <xf numFmtId="2" fontId="7" fillId="5" borderId="4" xfId="2" applyNumberFormat="1" applyFont="1" applyFill="1" applyBorder="1" applyAlignment="1">
      <alignment horizontal="center"/>
    </xf>
    <xf numFmtId="2" fontId="7" fillId="5" borderId="5" xfId="2" applyNumberFormat="1" applyFont="1" applyFill="1" applyBorder="1" applyAlignment="1">
      <alignment horizontal="center"/>
    </xf>
    <xf numFmtId="166" fontId="30" fillId="0" borderId="0" xfId="3" applyNumberFormat="1" applyFont="1" applyAlignment="1">
      <alignment horizontal="left"/>
    </xf>
    <xf numFmtId="0" fontId="28" fillId="0" borderId="0" xfId="0" applyFont="1" applyAlignment="1">
      <alignment horizontal="center"/>
    </xf>
    <xf numFmtId="0" fontId="1" fillId="0" borderId="1" xfId="3" applyFill="1" applyBorder="1" applyAlignment="1">
      <alignment horizontal="center"/>
    </xf>
    <xf numFmtId="0" fontId="1" fillId="0" borderId="1" xfId="3" applyBorder="1" applyAlignment="1">
      <alignment horizontal="center"/>
    </xf>
    <xf numFmtId="0" fontId="28" fillId="0" borderId="0" xfId="0" applyFont="1" applyAlignment="1">
      <alignment horizontal="right"/>
    </xf>
    <xf numFmtId="0" fontId="29" fillId="0" borderId="0" xfId="1" applyFont="1" applyAlignment="1" applyProtection="1">
      <alignment horizontal="left"/>
    </xf>
    <xf numFmtId="0" fontId="1" fillId="0" borderId="0" xfId="3" applyAlignment="1">
      <alignment horizontal="center"/>
    </xf>
    <xf numFmtId="0" fontId="7" fillId="5" borderId="3" xfId="3" applyFont="1" applyFill="1" applyBorder="1" applyAlignment="1">
      <alignment horizontal="center"/>
    </xf>
    <xf numFmtId="0" fontId="7" fillId="5" borderId="5" xfId="3" applyFont="1" applyFill="1" applyBorder="1" applyAlignment="1">
      <alignment horizontal="center"/>
    </xf>
    <xf numFmtId="0" fontId="1" fillId="5" borderId="1" xfId="3" applyFill="1" applyBorder="1" applyAlignment="1">
      <alignment horizontal="center"/>
    </xf>
    <xf numFmtId="0" fontId="25" fillId="0" borderId="0" xfId="0" applyFont="1" applyAlignment="1">
      <alignment horizontal="center"/>
    </xf>
    <xf numFmtId="0" fontId="34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165" fontId="4" fillId="11" borderId="3" xfId="0" applyNumberFormat="1" applyFont="1" applyFill="1" applyBorder="1" applyAlignment="1">
      <alignment horizontal="center"/>
    </xf>
    <xf numFmtId="165" fontId="4" fillId="11" borderId="5" xfId="0" applyNumberFormat="1" applyFont="1" applyFill="1" applyBorder="1" applyAlignment="1">
      <alignment horizontal="center"/>
    </xf>
    <xf numFmtId="165" fontId="4" fillId="10" borderId="3" xfId="0" applyNumberFormat="1" applyFont="1" applyFill="1" applyBorder="1" applyAlignment="1">
      <alignment horizontal="center"/>
    </xf>
    <xf numFmtId="165" fontId="4" fillId="10" borderId="5" xfId="0" applyNumberFormat="1" applyFont="1" applyFill="1" applyBorder="1" applyAlignment="1">
      <alignment horizontal="center"/>
    </xf>
    <xf numFmtId="0" fontId="38" fillId="0" borderId="0" xfId="0" applyFont="1" applyAlignment="1">
      <alignment horizontal="right"/>
    </xf>
    <xf numFmtId="0" fontId="38" fillId="0" borderId="12" xfId="0" applyFont="1" applyBorder="1" applyAlignment="1">
      <alignment horizontal="right"/>
    </xf>
    <xf numFmtId="1" fontId="38" fillId="10" borderId="1" xfId="0" applyNumberFormat="1" applyFont="1" applyFill="1" applyBorder="1" applyAlignment="1">
      <alignment horizontal="center"/>
    </xf>
    <xf numFmtId="1" fontId="0" fillId="0" borderId="0" xfId="0" applyNumberFormat="1"/>
    <xf numFmtId="2" fontId="4" fillId="10" borderId="1" xfId="0" applyNumberFormat="1" applyFont="1" applyFill="1" applyBorder="1" applyAlignment="1">
      <alignment horizontal="center"/>
    </xf>
    <xf numFmtId="2" fontId="38" fillId="10" borderId="1" xfId="0" applyNumberFormat="1" applyFont="1" applyFill="1" applyBorder="1" applyAlignment="1">
      <alignment horizontal="center"/>
    </xf>
  </cellXfs>
  <cellStyles count="4">
    <cellStyle name="Hyperlink" xfId="1" builtinId="8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CCFFCC"/>
      <color rgb="FFFFFF99"/>
      <color rgb="FFFCD5B4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kanecustomboats.com/" TargetMode="External"/><Relationship Id="rId1" Type="http://schemas.openxmlformats.org/officeDocument/2006/relationships/hyperlink" Target="http://www.kanecustomboats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boats.chelseacoachworks.com/" TargetMode="External"/><Relationship Id="rId1" Type="http://schemas.openxmlformats.org/officeDocument/2006/relationships/hyperlink" Target="http://www.chelseacoachwork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XFB130"/>
  <sheetViews>
    <sheetView tabSelected="1" topLeftCell="D13" zoomScale="80" zoomScaleNormal="80" zoomScaleSheetLayoutView="100" zoomScalePageLayoutView="75" workbookViewId="0">
      <selection activeCell="G60" sqref="G60"/>
    </sheetView>
  </sheetViews>
  <sheetFormatPr defaultColWidth="0" defaultRowHeight="12.5"/>
  <cols>
    <col min="4" max="4" width="4.90625" customWidth="1"/>
    <col min="5" max="5" width="9.453125" customWidth="1"/>
    <col min="6" max="6" width="9.08984375" customWidth="1"/>
    <col min="7" max="7" width="10.36328125" customWidth="1"/>
    <col min="8" max="8" width="6.6328125" customWidth="1"/>
    <col min="9" max="9" width="7.36328125" customWidth="1"/>
    <col min="10" max="10" width="7" customWidth="1"/>
    <col min="11" max="11" width="8.453125" customWidth="1"/>
    <col min="12" max="12" width="6.1796875" style="4" customWidth="1"/>
    <col min="13" max="13" width="7.08984375" customWidth="1"/>
    <col min="14" max="14" width="7.26953125" customWidth="1"/>
    <col min="15" max="15" width="5.90625" customWidth="1"/>
    <col min="16" max="16" width="7.08984375" customWidth="1"/>
    <col min="17" max="17" width="7.453125" customWidth="1"/>
    <col min="18" max="18" width="7.08984375" customWidth="1"/>
    <col min="19" max="19" width="6.26953125" style="1" customWidth="1"/>
    <col min="20" max="21" width="8" customWidth="1"/>
    <col min="22" max="22" width="8.08984375" customWidth="1"/>
    <col min="23" max="23" width="8.90625" customWidth="1"/>
    <col min="24" max="24" width="0.1796875" customWidth="1"/>
    <col min="25" max="25" width="5.54296875" hidden="1" customWidth="1"/>
    <col min="26" max="39" width="8.90625" hidden="1" customWidth="1"/>
    <col min="40" max="40" width="2.90625" hidden="1" customWidth="1"/>
    <col min="41" max="52" width="8.90625" hidden="1" customWidth="1"/>
    <col min="53" max="53" width="7.90625" hidden="1" customWidth="1"/>
    <col min="54" max="59" width="8.90625" hidden="1" customWidth="1"/>
    <col min="16360" max="16368" width="8.90625" hidden="1"/>
    <col min="16369" max="16369" width="2.90625" hidden="1"/>
    <col min="16370" max="16381" width="8.90625" hidden="1"/>
    <col min="16382" max="16382" width="7.90625" hidden="1"/>
    <col min="16383" max="16384" width="8.90625" hidden="1"/>
  </cols>
  <sheetData>
    <row r="2" spans="5:22" ht="15.5">
      <c r="E2" s="258" t="s">
        <v>119</v>
      </c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</row>
    <row r="3" spans="5:22" ht="13">
      <c r="F3" s="9"/>
      <c r="G3" s="9"/>
      <c r="H3" s="9"/>
      <c r="I3" s="9"/>
      <c r="J3" s="9"/>
      <c r="K3" s="9"/>
      <c r="L3" s="9"/>
    </row>
    <row r="4" spans="5:22" ht="13" customHeight="1">
      <c r="E4" s="280" t="s">
        <v>120</v>
      </c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</row>
    <row r="5" spans="5:22" ht="13">
      <c r="F5" s="82"/>
      <c r="G5" s="82"/>
      <c r="H5" s="82"/>
      <c r="I5" s="82"/>
      <c r="J5" s="82"/>
      <c r="K5" s="82"/>
      <c r="L5" s="82"/>
    </row>
    <row r="6" spans="5:22" ht="13">
      <c r="F6" s="82"/>
      <c r="G6" s="82"/>
      <c r="H6" s="82"/>
      <c r="I6" s="82"/>
      <c r="J6" s="82"/>
      <c r="K6" s="82"/>
      <c r="L6" s="82"/>
      <c r="M6" s="89"/>
      <c r="N6" s="90"/>
      <c r="O6" s="90"/>
      <c r="P6" s="90"/>
      <c r="Q6" s="90"/>
      <c r="R6" s="90"/>
      <c r="S6" s="145"/>
      <c r="T6" s="90"/>
    </row>
    <row r="7" spans="5:22" ht="13">
      <c r="H7" s="9"/>
      <c r="I7" s="9"/>
      <c r="J7" s="9"/>
      <c r="K7" s="267" t="str">
        <f xml:space="preserve"> TEXT(K8,"###") &amp; " HP"</f>
        <v>315 HP</v>
      </c>
      <c r="L7" s="267"/>
      <c r="M7" s="267"/>
      <c r="N7" s="267"/>
      <c r="P7" s="254"/>
      <c r="Q7" s="254"/>
      <c r="R7" s="254"/>
      <c r="S7" s="254"/>
      <c r="T7" s="116"/>
      <c r="U7" s="1"/>
    </row>
    <row r="8" spans="5:22" ht="13">
      <c r="G8" s="260" t="s">
        <v>74</v>
      </c>
      <c r="H8" s="260"/>
      <c r="I8" s="260"/>
      <c r="J8" s="256"/>
      <c r="K8" s="191">
        <v>315</v>
      </c>
      <c r="L8" s="20"/>
      <c r="M8" s="19"/>
      <c r="N8" s="5"/>
      <c r="O8" s="2"/>
      <c r="P8" s="3"/>
      <c r="Q8" s="3"/>
      <c r="R8" s="3"/>
      <c r="S8" s="3"/>
      <c r="T8" s="3"/>
      <c r="U8" s="146"/>
    </row>
    <row r="9" spans="5:22" ht="13">
      <c r="G9" s="260" t="s">
        <v>75</v>
      </c>
      <c r="H9" s="260"/>
      <c r="I9" s="260"/>
      <c r="J9" s="256"/>
      <c r="K9" s="191">
        <v>4500</v>
      </c>
      <c r="L9" s="20"/>
      <c r="M9" s="19"/>
      <c r="N9" s="5"/>
      <c r="O9" s="2"/>
      <c r="P9" s="3"/>
      <c r="Q9" s="3"/>
      <c r="R9" s="3"/>
      <c r="S9" s="3"/>
      <c r="T9" s="3"/>
      <c r="U9" s="146"/>
    </row>
    <row r="10" spans="5:22" ht="13">
      <c r="G10" s="260" t="s">
        <v>76</v>
      </c>
      <c r="H10" s="260"/>
      <c r="I10" s="260"/>
      <c r="J10" s="256"/>
      <c r="K10" s="192">
        <v>1.21</v>
      </c>
      <c r="L10" s="20"/>
      <c r="M10" s="19"/>
      <c r="N10" s="5"/>
      <c r="O10" s="2"/>
      <c r="P10" s="152"/>
      <c r="Q10" s="152"/>
      <c r="R10" s="152"/>
      <c r="S10" s="3"/>
      <c r="T10" s="2"/>
      <c r="U10" s="146"/>
    </row>
    <row r="11" spans="5:22" ht="13">
      <c r="G11" s="260" t="s">
        <v>77</v>
      </c>
      <c r="H11" s="260"/>
      <c r="I11" s="260"/>
      <c r="J11" s="256"/>
      <c r="K11" s="191">
        <v>3500</v>
      </c>
      <c r="L11" s="21" t="s">
        <v>2</v>
      </c>
      <c r="M11" s="6">
        <f>K11*0.45359237</f>
        <v>1587.5732950000001</v>
      </c>
      <c r="N11" s="8" t="s">
        <v>5</v>
      </c>
      <c r="O11" s="74"/>
      <c r="P11" s="142"/>
      <c r="Q11" s="142"/>
      <c r="R11" s="142"/>
      <c r="S11" s="142"/>
      <c r="T11" s="74"/>
      <c r="U11" s="146"/>
    </row>
    <row r="12" spans="5:22" ht="13">
      <c r="G12" s="260" t="s">
        <v>86</v>
      </c>
      <c r="H12" s="260"/>
      <c r="I12" s="260"/>
      <c r="J12" s="256"/>
      <c r="K12" s="191">
        <v>7.5</v>
      </c>
      <c r="L12" s="21" t="s">
        <v>88</v>
      </c>
      <c r="M12" s="133">
        <f>K12/12</f>
        <v>0.625</v>
      </c>
      <c r="N12" s="8" t="s">
        <v>87</v>
      </c>
      <c r="O12" s="281" t="s">
        <v>110</v>
      </c>
      <c r="P12" s="282"/>
      <c r="Q12" s="282"/>
      <c r="R12" s="282"/>
      <c r="S12" s="282"/>
      <c r="T12" s="282"/>
      <c r="U12" s="187"/>
      <c r="V12" s="187"/>
    </row>
    <row r="13" spans="5:22" ht="13">
      <c r="G13" s="260" t="s">
        <v>78</v>
      </c>
      <c r="H13" s="260"/>
      <c r="I13" s="260"/>
      <c r="J13" s="256"/>
      <c r="K13" s="191">
        <v>24</v>
      </c>
      <c r="L13" s="21" t="s">
        <v>4</v>
      </c>
      <c r="M13" s="6"/>
      <c r="N13" s="7"/>
      <c r="O13" s="128"/>
      <c r="P13" s="141"/>
      <c r="Q13" s="141"/>
      <c r="R13" s="141"/>
      <c r="S13" s="141"/>
      <c r="T13" s="128"/>
      <c r="U13" s="146"/>
    </row>
    <row r="14" spans="5:22" ht="13">
      <c r="G14" s="260" t="s">
        <v>79</v>
      </c>
      <c r="H14" s="260"/>
      <c r="I14" s="260"/>
      <c r="J14" s="256"/>
      <c r="K14" s="191">
        <v>25</v>
      </c>
      <c r="L14" s="21" t="s">
        <v>3</v>
      </c>
      <c r="M14" s="6">
        <f>K14*1.15077945</f>
        <v>28.76948625</v>
      </c>
      <c r="N14" s="7" t="s">
        <v>1</v>
      </c>
      <c r="O14" s="75"/>
      <c r="P14" s="141"/>
      <c r="Q14" s="141"/>
      <c r="R14" s="141"/>
      <c r="S14" s="141"/>
      <c r="T14" s="75"/>
      <c r="U14" s="146"/>
    </row>
    <row r="15" spans="5:22" ht="13">
      <c r="G15" s="260" t="s">
        <v>80</v>
      </c>
      <c r="H15" s="260"/>
      <c r="I15" s="260"/>
      <c r="J15" s="256"/>
      <c r="K15" s="191">
        <v>42</v>
      </c>
      <c r="L15" s="21" t="s">
        <v>3</v>
      </c>
      <c r="M15" s="6">
        <f>K15*1.15077945</f>
        <v>48.3327369</v>
      </c>
      <c r="N15" s="7" t="s">
        <v>1</v>
      </c>
      <c r="O15" s="75"/>
      <c r="P15" s="141"/>
      <c r="Q15" s="141"/>
      <c r="R15" s="141"/>
      <c r="S15" s="141"/>
      <c r="T15" s="75"/>
      <c r="U15" s="146"/>
    </row>
    <row r="16" spans="5:22" ht="13" customHeight="1">
      <c r="G16" s="253"/>
      <c r="H16" s="253"/>
      <c r="I16" s="253"/>
      <c r="J16" s="265"/>
      <c r="K16" s="168"/>
      <c r="L16" s="186"/>
      <c r="M16" s="11"/>
      <c r="N16" s="167"/>
      <c r="O16" s="75"/>
      <c r="P16" s="141"/>
      <c r="Q16" s="141"/>
      <c r="R16" s="141"/>
      <c r="S16" s="141"/>
      <c r="T16" s="75"/>
      <c r="U16" s="146"/>
    </row>
    <row r="17" spans="5:22">
      <c r="G17" s="266" t="s">
        <v>81</v>
      </c>
      <c r="H17" s="266"/>
      <c r="I17" s="266"/>
      <c r="J17" s="251"/>
      <c r="K17" s="193">
        <f>K15/(SQRT(K12))</f>
        <v>15.336231610144651</v>
      </c>
      <c r="L17" s="5"/>
      <c r="M17" s="5"/>
      <c r="N17" s="6"/>
      <c r="O17" s="11"/>
      <c r="P17" s="3"/>
      <c r="Q17" s="3"/>
      <c r="R17" s="3"/>
      <c r="S17" s="3"/>
      <c r="U17" s="1"/>
    </row>
    <row r="18" spans="5:22">
      <c r="F18" s="266" t="s">
        <v>82</v>
      </c>
      <c r="G18" s="266"/>
      <c r="H18" s="266"/>
      <c r="I18" s="266"/>
      <c r="J18" s="251"/>
      <c r="K18" s="108">
        <f>K11/K32</f>
        <v>11.456472193624004</v>
      </c>
      <c r="L18" s="5"/>
      <c r="M18" s="5"/>
      <c r="N18" s="6"/>
      <c r="O18" s="11"/>
      <c r="P18" s="160"/>
      <c r="Q18" s="3"/>
      <c r="R18" s="3"/>
      <c r="S18" s="3"/>
      <c r="U18" s="1"/>
    </row>
    <row r="19" spans="5:22" ht="13">
      <c r="G19" s="260" t="s">
        <v>83</v>
      </c>
      <c r="H19" s="260"/>
      <c r="I19" s="260"/>
      <c r="J19" s="256"/>
      <c r="K19" s="194">
        <v>150</v>
      </c>
      <c r="L19" s="5"/>
      <c r="M19" s="5"/>
      <c r="N19" s="6"/>
      <c r="O19" s="263" t="s">
        <v>102</v>
      </c>
      <c r="P19" s="263"/>
      <c r="Q19" s="263"/>
      <c r="R19" s="263"/>
      <c r="S19" s="263"/>
      <c r="T19" s="263"/>
      <c r="U19" s="263"/>
      <c r="V19" s="263"/>
    </row>
    <row r="20" spans="5:22" ht="13">
      <c r="H20" s="106"/>
      <c r="I20" s="106"/>
      <c r="J20" s="106"/>
      <c r="K20" s="107"/>
      <c r="L20" s="2"/>
      <c r="M20" s="2"/>
      <c r="N20" s="11"/>
      <c r="O20" s="264" t="s">
        <v>103</v>
      </c>
      <c r="P20" s="264"/>
      <c r="Q20" s="264"/>
      <c r="R20" s="264"/>
      <c r="S20" s="264"/>
      <c r="T20" s="264"/>
      <c r="U20" s="264"/>
      <c r="V20" s="264"/>
    </row>
    <row r="21" spans="5:22" ht="13">
      <c r="H21" s="96"/>
      <c r="I21" s="96"/>
      <c r="J21" s="96"/>
      <c r="K21" s="97"/>
      <c r="L21" s="2"/>
      <c r="M21" s="2"/>
      <c r="N21" s="11"/>
      <c r="S21"/>
      <c r="U21" s="1"/>
    </row>
    <row r="22" spans="5:22" ht="13">
      <c r="K22" s="267" t="str">
        <f xml:space="preserve"> TEXT(K8,"###") &amp; " HP"</f>
        <v>315 HP</v>
      </c>
      <c r="L22" s="267"/>
      <c r="M22" s="267"/>
      <c r="N22" s="267"/>
      <c r="P22" s="267" t="str">
        <f xml:space="preserve"> TEXT(K8,"###") &amp; " HP"</f>
        <v>315 HP</v>
      </c>
      <c r="Q22" s="267"/>
      <c r="R22" s="267"/>
      <c r="S22" s="267"/>
      <c r="U22" s="1"/>
    </row>
    <row r="23" spans="5:22" ht="13">
      <c r="G23" s="255" t="s">
        <v>60</v>
      </c>
      <c r="H23" s="255"/>
      <c r="I23" s="255"/>
      <c r="J23" s="256"/>
      <c r="K23" s="261">
        <v>0.88</v>
      </c>
      <c r="L23" s="262"/>
      <c r="M23" s="261">
        <v>1</v>
      </c>
      <c r="N23" s="262"/>
      <c r="P23" s="261">
        <v>1.21</v>
      </c>
      <c r="Q23" s="262"/>
      <c r="R23" s="261">
        <v>1.5</v>
      </c>
      <c r="S23" s="262"/>
      <c r="T23" s="184" t="s">
        <v>101</v>
      </c>
      <c r="U23" s="149"/>
    </row>
    <row r="24" spans="5:22">
      <c r="G24" s="250" t="s">
        <v>52</v>
      </c>
      <c r="H24" s="250"/>
      <c r="I24" s="250"/>
      <c r="J24" s="251"/>
      <c r="K24" s="212">
        <f>K8</f>
        <v>315</v>
      </c>
      <c r="L24" s="213"/>
      <c r="M24" s="213"/>
      <c r="N24" s="214"/>
      <c r="P24" s="212">
        <f>K8</f>
        <v>315</v>
      </c>
      <c r="Q24" s="213"/>
      <c r="R24" s="213"/>
      <c r="S24" s="214"/>
      <c r="U24" s="1"/>
    </row>
    <row r="25" spans="5:22">
      <c r="G25" s="250" t="s">
        <v>53</v>
      </c>
      <c r="H25" s="250"/>
      <c r="I25" s="250"/>
      <c r="J25" s="251"/>
      <c r="K25" s="212">
        <f>K9</f>
        <v>4500</v>
      </c>
      <c r="L25" s="213"/>
      <c r="M25" s="213"/>
      <c r="N25" s="214"/>
      <c r="P25" s="203">
        <f>K9</f>
        <v>4500</v>
      </c>
      <c r="Q25" s="213"/>
      <c r="R25" s="213"/>
      <c r="S25" s="214"/>
      <c r="U25" s="1"/>
    </row>
    <row r="26" spans="5:22">
      <c r="G26" s="250" t="s">
        <v>54</v>
      </c>
      <c r="H26" s="250"/>
      <c r="I26" s="250"/>
      <c r="J26" s="251"/>
      <c r="K26" s="215">
        <f>(5252*K24)/K25</f>
        <v>367.64</v>
      </c>
      <c r="L26" s="215"/>
      <c r="M26" s="215"/>
      <c r="N26" s="215"/>
      <c r="O26" s="124"/>
      <c r="P26" s="205">
        <f>(5252*K24)/K25</f>
        <v>367.64</v>
      </c>
      <c r="Q26" s="221"/>
      <c r="R26" s="221"/>
      <c r="S26" s="206"/>
      <c r="U26" s="1"/>
    </row>
    <row r="27" spans="5:22">
      <c r="G27" s="253"/>
      <c r="H27" s="253"/>
      <c r="I27" s="253"/>
      <c r="J27" s="253"/>
      <c r="K27" s="228"/>
      <c r="L27" s="228"/>
      <c r="M27" s="228"/>
      <c r="N27" s="228"/>
      <c r="O27" s="124"/>
      <c r="P27" s="124"/>
      <c r="Q27" s="124"/>
      <c r="R27" s="124"/>
      <c r="S27" s="124"/>
      <c r="U27" s="1"/>
    </row>
    <row r="28" spans="5:22">
      <c r="E28" s="250" t="s">
        <v>55</v>
      </c>
      <c r="F28" s="250"/>
      <c r="G28" s="250"/>
      <c r="H28" s="250"/>
      <c r="I28" s="250"/>
      <c r="J28" s="251"/>
      <c r="K28" s="216">
        <f>K24*0.97</f>
        <v>305.55</v>
      </c>
      <c r="L28" s="216"/>
      <c r="M28" s="216"/>
      <c r="N28" s="216"/>
      <c r="O28" s="124"/>
      <c r="P28" s="222">
        <f>K24*0.97</f>
        <v>305.55</v>
      </c>
      <c r="Q28" s="223"/>
      <c r="R28" s="223"/>
      <c r="S28" s="224"/>
      <c r="U28" s="1"/>
    </row>
    <row r="29" spans="5:22">
      <c r="E29" s="250" t="s">
        <v>105</v>
      </c>
      <c r="F29" s="250"/>
      <c r="G29" s="250"/>
      <c r="H29" s="250"/>
      <c r="I29" s="250"/>
      <c r="J29" s="251"/>
      <c r="K29" s="217">
        <v>1</v>
      </c>
      <c r="L29" s="218"/>
      <c r="M29" s="218"/>
      <c r="N29" s="219"/>
      <c r="O29" s="124"/>
      <c r="P29" s="217">
        <v>1</v>
      </c>
      <c r="Q29" s="218"/>
      <c r="R29" s="218"/>
      <c r="S29" s="219"/>
      <c r="U29" s="1"/>
    </row>
    <row r="30" spans="5:22">
      <c r="E30" s="250" t="s">
        <v>56</v>
      </c>
      <c r="F30" s="250"/>
      <c r="G30" s="250"/>
      <c r="H30" s="250"/>
      <c r="I30" s="250"/>
      <c r="J30" s="251"/>
      <c r="K30" s="220">
        <f>0.015*K29</f>
        <v>1.4999999999999999E-2</v>
      </c>
      <c r="L30" s="220"/>
      <c r="M30" s="220"/>
      <c r="N30" s="220"/>
      <c r="O30" s="124"/>
      <c r="P30" s="225">
        <f>0.015*P29</f>
        <v>1.4999999999999999E-2</v>
      </c>
      <c r="Q30" s="226"/>
      <c r="R30" s="226"/>
      <c r="S30" s="227"/>
      <c r="U30" s="1"/>
    </row>
    <row r="31" spans="5:22">
      <c r="G31" s="253"/>
      <c r="H31" s="253"/>
      <c r="I31" s="253"/>
      <c r="J31" s="253"/>
      <c r="K31" s="228"/>
      <c r="L31" s="228"/>
      <c r="M31" s="228"/>
      <c r="N31" s="228"/>
      <c r="O31" s="124"/>
      <c r="S31"/>
      <c r="U31" s="1"/>
    </row>
    <row r="32" spans="5:22" ht="13">
      <c r="E32" s="250" t="s">
        <v>57</v>
      </c>
      <c r="F32" s="250"/>
      <c r="G32" s="250"/>
      <c r="H32" s="250"/>
      <c r="I32" s="250"/>
      <c r="J32" s="251"/>
      <c r="K32" s="215">
        <f>K28*((100-K30)/100)</f>
        <v>305.50416749999999</v>
      </c>
      <c r="L32" s="215"/>
      <c r="M32" s="215"/>
      <c r="N32" s="215"/>
      <c r="O32" s="124"/>
      <c r="P32" s="205">
        <f>P28*((100-P30)/100)</f>
        <v>305.50416749999999</v>
      </c>
      <c r="Q32" s="221"/>
      <c r="R32" s="221"/>
      <c r="S32" s="206"/>
      <c r="T32" s="87"/>
      <c r="U32" s="1"/>
    </row>
    <row r="33" spans="5:23" ht="13">
      <c r="E33" s="283" t="str">
        <f>"Shaft HP to attain desired speed of " &amp; TEXT( K15,"###") &amp; " knots (" &amp; TEXT(M15,"###") &amp; " MPH)  "</f>
        <v xml:space="preserve">Shaft HP to attain desired speed of 42 knots (48 MPH)  </v>
      </c>
      <c r="F33" s="283"/>
      <c r="G33" s="283"/>
      <c r="H33" s="283"/>
      <c r="I33" s="283"/>
      <c r="J33" s="284"/>
      <c r="K33" s="209">
        <f>(POWER((K15/K19),2))*K11</f>
        <v>274.40000000000003</v>
      </c>
      <c r="L33" s="210"/>
      <c r="M33" s="210"/>
      <c r="N33" s="211"/>
      <c r="O33" s="124"/>
      <c r="P33" s="209">
        <f>(POWER((K15/K19),2))*K11</f>
        <v>274.40000000000003</v>
      </c>
      <c r="Q33" s="210"/>
      <c r="R33" s="210"/>
      <c r="S33" s="211"/>
      <c r="U33" s="289"/>
      <c r="V33" s="289"/>
      <c r="W33" s="289"/>
    </row>
    <row r="34" spans="5:23" ht="13">
      <c r="G34" s="250" t="s">
        <v>58</v>
      </c>
      <c r="H34" s="250"/>
      <c r="I34" s="250"/>
      <c r="J34" s="251"/>
      <c r="K34" s="205">
        <f>K25/K23</f>
        <v>5113.636363636364</v>
      </c>
      <c r="L34" s="206"/>
      <c r="M34" s="205">
        <f>K25/M23</f>
        <v>4500</v>
      </c>
      <c r="N34" s="206"/>
      <c r="O34" s="124"/>
      <c r="P34" s="205">
        <f>P25/P23</f>
        <v>3719.0082644628101</v>
      </c>
      <c r="Q34" s="206"/>
      <c r="R34" s="205">
        <f>P25/R23</f>
        <v>3000</v>
      </c>
      <c r="S34" s="206"/>
      <c r="T34" s="87"/>
      <c r="U34" s="1"/>
    </row>
    <row r="35" spans="5:23" ht="13">
      <c r="G35" s="250" t="s">
        <v>59</v>
      </c>
      <c r="H35" s="250"/>
      <c r="I35" s="250"/>
      <c r="J35" s="251"/>
      <c r="K35" s="215">
        <f>(5252*K32)/K34</f>
        <v>313.77043137439995</v>
      </c>
      <c r="L35" s="215"/>
      <c r="M35" s="215">
        <f>(5252*K32)/M34</f>
        <v>356.55730837999999</v>
      </c>
      <c r="N35" s="215"/>
      <c r="O35" s="124"/>
      <c r="P35" s="205">
        <f>(5252*P32)/P34</f>
        <v>431.43434313979998</v>
      </c>
      <c r="Q35" s="206"/>
      <c r="R35" s="205">
        <f>(5252*P32)/R34</f>
        <v>534.83596256999999</v>
      </c>
      <c r="S35" s="206"/>
      <c r="T35" s="87"/>
      <c r="U35" s="1"/>
    </row>
    <row r="36" spans="5:23">
      <c r="H36" s="86"/>
      <c r="I36" s="86"/>
      <c r="J36" s="86"/>
      <c r="K36" s="252"/>
      <c r="L36" s="252"/>
      <c r="M36" s="252"/>
      <c r="N36" s="252"/>
      <c r="O36" s="124"/>
      <c r="P36" s="127"/>
      <c r="Q36" s="127"/>
      <c r="R36" s="127"/>
      <c r="S36" s="127"/>
      <c r="U36" s="1"/>
    </row>
    <row r="37" spans="5:23" ht="13">
      <c r="E37" s="266" t="s">
        <v>65</v>
      </c>
      <c r="F37" s="266"/>
      <c r="G37" s="266"/>
      <c r="H37" s="266"/>
      <c r="I37" s="266"/>
      <c r="J37" s="251"/>
      <c r="K37" s="215">
        <f>K19/SQRT(K18)</f>
        <v>44.316535993915409</v>
      </c>
      <c r="L37" s="215"/>
      <c r="M37" s="279">
        <f>K19/SQRT(K18)</f>
        <v>44.316535993915409</v>
      </c>
      <c r="N37" s="279"/>
      <c r="O37" s="125"/>
      <c r="P37" s="205">
        <f>K19/SQRT(K18)</f>
        <v>44.316535993915409</v>
      </c>
      <c r="Q37" s="206"/>
      <c r="R37" s="207">
        <f>P37*1.15077945</f>
        <v>50.998558916983171</v>
      </c>
      <c r="S37" s="208"/>
      <c r="T37" s="88"/>
      <c r="U37" s="1"/>
    </row>
    <row r="38" spans="5:23" ht="13">
      <c r="E38" s="266" t="s">
        <v>66</v>
      </c>
      <c r="F38" s="266"/>
      <c r="G38" s="266"/>
      <c r="H38" s="266"/>
      <c r="I38" s="266"/>
      <c r="J38" s="251"/>
      <c r="K38" s="205">
        <f>K37*1.15077945</f>
        <v>50.998558916983171</v>
      </c>
      <c r="L38" s="206"/>
      <c r="M38" s="207">
        <f>M37*1.15077945</f>
        <v>50.998558916983171</v>
      </c>
      <c r="N38" s="208"/>
      <c r="O38" s="125"/>
      <c r="P38" s="205">
        <f>P37*1.15077945</f>
        <v>50.998558916983171</v>
      </c>
      <c r="Q38" s="206"/>
      <c r="R38" s="207">
        <f>R37*1.15077945</f>
        <v>58.688093581278487</v>
      </c>
      <c r="S38" s="208"/>
      <c r="T38" s="88"/>
      <c r="U38" s="1"/>
    </row>
    <row r="39" spans="5:23" ht="13">
      <c r="E39" s="266" t="s">
        <v>67</v>
      </c>
      <c r="F39" s="266"/>
      <c r="G39" s="266"/>
      <c r="H39" s="266"/>
      <c r="I39" s="266"/>
      <c r="J39" s="251"/>
      <c r="K39" s="320">
        <f>(632.7*(POWER(K32,0.2)))/(POWER(K34,0.6))</f>
        <v>11.829417432029731</v>
      </c>
      <c r="L39" s="321"/>
      <c r="M39" s="320">
        <f>(632.7*(POWER(K32,0.2)))/(POWER(M34,0.6))</f>
        <v>12.772436552673616</v>
      </c>
      <c r="N39" s="321"/>
      <c r="O39" s="125"/>
      <c r="P39" s="320">
        <f>(632.7*(POWER(P32,0.2)))/(POWER(P34,0.6))</f>
        <v>14.320064568287256</v>
      </c>
      <c r="Q39" s="321"/>
      <c r="R39" s="320">
        <f>(632.7*(POWER(P32,0.2)))/(POWER(R34,0.6))</f>
        <v>16.290278511968342</v>
      </c>
      <c r="S39" s="321"/>
      <c r="T39" s="87"/>
      <c r="U39" s="1"/>
    </row>
    <row r="40" spans="5:23" ht="13">
      <c r="G40" s="157"/>
      <c r="H40" s="136"/>
      <c r="I40" s="136"/>
      <c r="J40" s="136"/>
      <c r="K40" s="87"/>
      <c r="L40" s="87"/>
      <c r="M40" s="87"/>
      <c r="N40" s="88"/>
      <c r="O40" s="126"/>
      <c r="P40" s="4"/>
      <c r="Q40" s="4"/>
      <c r="R40" s="4"/>
      <c r="S40"/>
      <c r="U40" s="1"/>
    </row>
    <row r="41" spans="5:23">
      <c r="G41" s="324" t="s">
        <v>68</v>
      </c>
      <c r="H41" s="324"/>
      <c r="I41" s="324"/>
      <c r="J41" s="325"/>
      <c r="K41" s="203">
        <f>K34*0.8</f>
        <v>4090.9090909090914</v>
      </c>
      <c r="L41" s="204"/>
      <c r="M41" s="203">
        <f>M34*0.8</f>
        <v>3600</v>
      </c>
      <c r="N41" s="204"/>
      <c r="O41" s="126"/>
      <c r="P41" s="203">
        <f>P34*0.8</f>
        <v>2975.2066115702482</v>
      </c>
      <c r="Q41" s="204"/>
      <c r="R41" s="203">
        <f>R34*0.8</f>
        <v>2400</v>
      </c>
      <c r="S41" s="204"/>
      <c r="T41" s="92"/>
      <c r="U41" s="1"/>
    </row>
    <row r="42" spans="5:23">
      <c r="E42" s="250" t="s">
        <v>69</v>
      </c>
      <c r="F42" s="250"/>
      <c r="G42" s="250"/>
      <c r="H42" s="250"/>
      <c r="I42" s="250"/>
      <c r="J42" s="251"/>
      <c r="K42" s="203">
        <f>K15*101.3</f>
        <v>4254.5999999999995</v>
      </c>
      <c r="L42" s="204"/>
      <c r="M42" s="203">
        <f>K15*101.3</f>
        <v>4254.5999999999995</v>
      </c>
      <c r="N42" s="204"/>
      <c r="O42" s="126"/>
      <c r="P42" s="203">
        <f>K15*101.3</f>
        <v>4254.5999999999995</v>
      </c>
      <c r="Q42" s="204"/>
      <c r="R42" s="203">
        <f>K15*101.3</f>
        <v>4254.5999999999995</v>
      </c>
      <c r="S42" s="204"/>
      <c r="T42" s="92"/>
      <c r="U42" s="1"/>
    </row>
    <row r="43" spans="5:23">
      <c r="E43" s="290" t="s">
        <v>70</v>
      </c>
      <c r="F43" s="290"/>
      <c r="G43" s="290"/>
      <c r="H43" s="290"/>
      <c r="I43" s="290"/>
      <c r="J43" s="291"/>
      <c r="K43" s="201">
        <f xml:space="preserve"> (K15*101.3) / (K34*0.8)</f>
        <v>1.040013333333333</v>
      </c>
      <c r="L43" s="202"/>
      <c r="M43" s="201">
        <f xml:space="preserve"> (K15*101.3) / (M34*0.8)</f>
        <v>1.1818333333333333</v>
      </c>
      <c r="N43" s="202"/>
      <c r="O43" s="126"/>
      <c r="P43" s="201">
        <f xml:space="preserve"> (K15*101.3) / (P34*0.8)</f>
        <v>1.4300183333333329</v>
      </c>
      <c r="Q43" s="202"/>
      <c r="R43" s="201">
        <f xml:space="preserve"> (K15*101.3) / (R34*0.8)</f>
        <v>1.7727499999999998</v>
      </c>
      <c r="S43" s="202"/>
      <c r="T43" s="93"/>
      <c r="U43" s="1"/>
    </row>
    <row r="44" spans="5:23">
      <c r="E44" s="250" t="s">
        <v>71</v>
      </c>
      <c r="F44" s="250"/>
      <c r="G44" s="250"/>
      <c r="H44" s="250"/>
      <c r="I44" s="250"/>
      <c r="J44" s="251"/>
      <c r="K44" s="201">
        <f>( (K15*101.3) / (K34*0.8) )* 12</f>
        <v>12.480159999999996</v>
      </c>
      <c r="L44" s="202"/>
      <c r="M44" s="201">
        <f>( (K15*101.3) / (M34*0.8) )* 12</f>
        <v>14.181999999999999</v>
      </c>
      <c r="N44" s="202"/>
      <c r="O44" s="126"/>
      <c r="P44" s="201">
        <f>( (K15*101.3) / (P34*0.8) )* 12</f>
        <v>17.160219999999995</v>
      </c>
      <c r="Q44" s="202"/>
      <c r="R44" s="201">
        <f>( (K15*101.3) / (R34*0.8) )* 12</f>
        <v>21.272999999999996</v>
      </c>
      <c r="S44" s="202"/>
      <c r="T44" s="93"/>
      <c r="U44" s="1"/>
    </row>
    <row r="45" spans="5:23">
      <c r="E45" s="250" t="s">
        <v>72</v>
      </c>
      <c r="F45" s="250"/>
      <c r="G45" s="250"/>
      <c r="H45" s="250"/>
      <c r="I45" s="250"/>
      <c r="J45" s="251"/>
      <c r="K45" s="233">
        <f>1.4/(POWER(K15,0.57))</f>
        <v>0.16629375505052338</v>
      </c>
      <c r="L45" s="234"/>
      <c r="M45" s="233">
        <f>1.4/(POWER(K15,0.57))</f>
        <v>0.16629375505052338</v>
      </c>
      <c r="N45" s="234"/>
      <c r="O45" s="126"/>
      <c r="P45" s="233">
        <f>1.4/(POWER(K15,0.57))</f>
        <v>0.16629375505052338</v>
      </c>
      <c r="Q45" s="234"/>
      <c r="R45" s="233">
        <f>1.4/(POWER(K15,0.57))</f>
        <v>0.16629375505052338</v>
      </c>
      <c r="S45" s="234"/>
      <c r="T45" s="94"/>
      <c r="U45" s="147"/>
    </row>
    <row r="46" spans="5:23">
      <c r="E46" s="250" t="s">
        <v>73</v>
      </c>
      <c r="F46" s="250"/>
      <c r="G46" s="250"/>
      <c r="H46" s="250"/>
      <c r="I46" s="250"/>
      <c r="J46" s="251"/>
      <c r="K46" s="322">
        <f>( ( (K15*101.3) / (K34*0.8) )* 12 ) * (1+ 1.4/(POWER(K15,0.57)) )</f>
        <v>14.555532670031337</v>
      </c>
      <c r="L46" s="323"/>
      <c r="M46" s="322">
        <f>( ( (K15*101.3) / (M34*0.8) )* 12 ) * (1+ 1.4/(POWER(K15,0.57)) )</f>
        <v>16.540378034126523</v>
      </c>
      <c r="N46" s="323"/>
      <c r="O46" s="126"/>
      <c r="P46" s="322">
        <f>( ( (K15*101.3) / (P34*0.8) )* 12 ) * (1+ 1.4/(POWER(K15,0.57)) )</f>
        <v>20.013857421293089</v>
      </c>
      <c r="Q46" s="323"/>
      <c r="R46" s="322">
        <f>( ( (K15*101.3) / (R34*0.8) )* 12 ) * (1+ 1.4/(POWER(K15,0.57)) )</f>
        <v>24.810567051189782</v>
      </c>
      <c r="S46" s="323"/>
      <c r="T46" s="112"/>
      <c r="U46" s="1"/>
    </row>
    <row r="47" spans="5:23" ht="16">
      <c r="E47" s="287" t="s">
        <v>89</v>
      </c>
      <c r="F47" s="287"/>
      <c r="G47" s="287"/>
      <c r="H47" s="287"/>
      <c r="I47" s="287"/>
      <c r="J47" s="288"/>
      <c r="K47" s="203">
        <f>1.9 * K37 * POWER(M12*0.96,0.08)</f>
        <v>80.829800586797262</v>
      </c>
      <c r="L47" s="247"/>
      <c r="M47" s="247"/>
      <c r="N47" s="204"/>
      <c r="O47" s="126"/>
      <c r="P47" s="203">
        <f>1.9 * P37 * POWER(M12*0.96,0.08)</f>
        <v>80.829800586797262</v>
      </c>
      <c r="Q47" s="247"/>
      <c r="R47" s="247"/>
      <c r="S47" s="204"/>
      <c r="T47" s="188" t="s">
        <v>85</v>
      </c>
      <c r="U47" s="189"/>
      <c r="V47" s="190"/>
    </row>
    <row r="48" spans="5:23" ht="13">
      <c r="G48" s="253"/>
      <c r="H48" s="253"/>
      <c r="I48" s="253"/>
      <c r="J48" s="253"/>
      <c r="K48" s="91"/>
      <c r="L48" s="91"/>
      <c r="M48" s="91"/>
      <c r="N48" s="91"/>
      <c r="S48"/>
      <c r="U48" s="1"/>
    </row>
    <row r="49" spans="5:30" ht="13">
      <c r="G49" s="255" t="s">
        <v>108</v>
      </c>
      <c r="H49" s="255"/>
      <c r="I49" s="255"/>
      <c r="J49" s="256"/>
      <c r="K49" s="232">
        <f>K23</f>
        <v>0.88</v>
      </c>
      <c r="L49" s="232"/>
      <c r="M49" s="232">
        <f>M23</f>
        <v>1</v>
      </c>
      <c r="N49" s="232"/>
      <c r="O49" s="113"/>
      <c r="P49" s="232">
        <f>P23</f>
        <v>1.21</v>
      </c>
      <c r="Q49" s="232"/>
      <c r="R49" s="232">
        <f>R23</f>
        <v>1.5</v>
      </c>
      <c r="S49" s="232"/>
      <c r="U49" s="1"/>
    </row>
    <row r="50" spans="5:30" ht="13">
      <c r="G50" s="255" t="s">
        <v>111</v>
      </c>
      <c r="H50" s="255"/>
      <c r="I50" s="255"/>
      <c r="J50" s="256"/>
      <c r="K50" s="117" t="s">
        <v>25</v>
      </c>
      <c r="L50" s="117" t="s">
        <v>61</v>
      </c>
      <c r="M50" s="117" t="s">
        <v>25</v>
      </c>
      <c r="N50" s="95" t="s">
        <v>61</v>
      </c>
      <c r="O50" s="88"/>
      <c r="P50" s="117" t="s">
        <v>25</v>
      </c>
      <c r="Q50" s="117" t="s">
        <v>61</v>
      </c>
      <c r="R50" s="117" t="s">
        <v>25</v>
      </c>
      <c r="S50" s="95" t="s">
        <v>61</v>
      </c>
      <c r="U50" s="1"/>
    </row>
    <row r="51" spans="5:30" ht="13">
      <c r="F51" s="285" t="s">
        <v>121</v>
      </c>
      <c r="G51" s="285"/>
      <c r="H51" s="285"/>
      <c r="I51" s="285"/>
      <c r="J51" s="286"/>
      <c r="K51" s="123">
        <f>ROUND(K39,0)</f>
        <v>12</v>
      </c>
      <c r="L51" s="123">
        <f>ROUND(K46,0)</f>
        <v>15</v>
      </c>
      <c r="M51" s="123">
        <f>ROUND(M39,0)</f>
        <v>13</v>
      </c>
      <c r="N51" s="123">
        <f>ROUND(M46,0)</f>
        <v>17</v>
      </c>
      <c r="O51" s="92"/>
      <c r="P51" s="123">
        <f>ROUND(P39,0)</f>
        <v>14</v>
      </c>
      <c r="Q51" s="123">
        <f>ROUND(P46,0)</f>
        <v>20</v>
      </c>
      <c r="R51" s="123">
        <f>ROUND(R39,0)</f>
        <v>16</v>
      </c>
      <c r="S51" s="123">
        <f>ROUND(R46,0)</f>
        <v>25</v>
      </c>
      <c r="T51" s="185" t="s">
        <v>13</v>
      </c>
    </row>
    <row r="52" spans="5:30" ht="13">
      <c r="F52" s="285" t="s">
        <v>124</v>
      </c>
      <c r="G52" s="285"/>
      <c r="H52" s="285"/>
      <c r="I52" s="285"/>
      <c r="J52" s="286"/>
      <c r="K52" s="326">
        <f>K51</f>
        <v>12</v>
      </c>
      <c r="L52" s="329">
        <f>IF(L51-(L51*0.05) &gt; L51-1, L51-(L51*0.05), L51-1)</f>
        <v>14.25</v>
      </c>
      <c r="M52" s="326">
        <f>M51</f>
        <v>13</v>
      </c>
      <c r="N52" s="329">
        <f>IF(N51-(N51*0.05) &gt; N51-1, N51-(N51*0.05), N51-1)</f>
        <v>16.149999999999999</v>
      </c>
      <c r="O52" s="92"/>
      <c r="P52" s="108">
        <f>P51</f>
        <v>14</v>
      </c>
      <c r="Q52" s="328">
        <f>IF(Q51-(Q51*0.05) &gt; Q51-1, Q51-(Q51*0.05), Q51-1)</f>
        <v>19</v>
      </c>
      <c r="R52" s="108">
        <f>R51</f>
        <v>16</v>
      </c>
      <c r="S52" s="328">
        <f>IF(S51-(S51*0.05) &gt; S51-1, S51-(S51*0.05), S51-1)</f>
        <v>24</v>
      </c>
      <c r="T52" s="185" t="s">
        <v>13</v>
      </c>
      <c r="U52" s="327"/>
    </row>
    <row r="53" spans="5:30" ht="13">
      <c r="G53" s="255" t="s">
        <v>122</v>
      </c>
      <c r="H53" s="255"/>
      <c r="I53" s="255"/>
      <c r="J53" s="256"/>
      <c r="K53" s="108">
        <f>K51-1</f>
        <v>11</v>
      </c>
      <c r="L53" s="108">
        <f>L51+2.5</f>
        <v>17.5</v>
      </c>
      <c r="M53" s="109">
        <f>M51-1</f>
        <v>12</v>
      </c>
      <c r="N53" s="109">
        <f>M46+2.5</f>
        <v>19.040378034126523</v>
      </c>
      <c r="O53" s="114"/>
      <c r="P53" s="108">
        <f>P51-1</f>
        <v>13</v>
      </c>
      <c r="Q53" s="108">
        <f>Q51+2.5</f>
        <v>22.5</v>
      </c>
      <c r="R53" s="109">
        <f>R51-1</f>
        <v>15</v>
      </c>
      <c r="S53" s="109">
        <f>R46+2.5</f>
        <v>27.310567051189782</v>
      </c>
      <c r="T53" s="185" t="s">
        <v>14</v>
      </c>
      <c r="U53" s="327"/>
    </row>
    <row r="54" spans="5:30" ht="13">
      <c r="F54" s="285" t="s">
        <v>62</v>
      </c>
      <c r="G54" s="285"/>
      <c r="H54" s="285"/>
      <c r="I54" s="285"/>
      <c r="J54" s="286"/>
      <c r="K54" s="108">
        <f>(632.7*(POWER(K32,0.2)))/(POWER(K34,0.6)) * 1.05</f>
        <v>12.420888303631218</v>
      </c>
      <c r="L54" s="108">
        <f>K46*1.01</f>
        <v>14.701087996731649</v>
      </c>
      <c r="M54" s="108">
        <f>(632.7*(POWER(K32,0.2)))/(POWER(K34,0.6)) * 1.05</f>
        <v>12.420888303631218</v>
      </c>
      <c r="N54" s="108">
        <f>M46*1.01</f>
        <v>16.705781814467787</v>
      </c>
      <c r="O54" s="92"/>
      <c r="P54" s="108">
        <f>(632.7*(POWER(P32,0.2)))/(POWER(P34,0.6)) * 1.05</f>
        <v>15.036067796701619</v>
      </c>
      <c r="Q54" s="108">
        <f>P46*1.01</f>
        <v>20.213995995506021</v>
      </c>
      <c r="R54" s="108">
        <f>(632.7*(POWER(P32,0.2)))/(POWER(P34,0.6)) * 1.05</f>
        <v>15.036067796701619</v>
      </c>
      <c r="S54" s="108">
        <f>R46*1.01</f>
        <v>25.058672721701679</v>
      </c>
      <c r="U54" s="1"/>
    </row>
    <row r="55" spans="5:30" ht="13">
      <c r="F55" s="285" t="s">
        <v>63</v>
      </c>
      <c r="G55" s="285"/>
      <c r="H55" s="285"/>
      <c r="I55" s="285"/>
      <c r="J55" s="286"/>
      <c r="K55" s="108">
        <f>K39*0.94</f>
        <v>11.119652386107946</v>
      </c>
      <c r="L55" s="108">
        <f>K46*0.98</f>
        <v>14.264422016630709</v>
      </c>
      <c r="M55" s="108">
        <f>M39*0.94</f>
        <v>12.006090359513198</v>
      </c>
      <c r="N55" s="108">
        <f>M46*0.98</f>
        <v>16.209570473443993</v>
      </c>
      <c r="O55" s="92"/>
      <c r="P55" s="108">
        <f>P39*0.94</f>
        <v>13.46086069419002</v>
      </c>
      <c r="Q55" s="108">
        <f>P46*0.98</f>
        <v>19.613580272867228</v>
      </c>
      <c r="R55" s="108">
        <f>R39*0.94</f>
        <v>15.312861801250241</v>
      </c>
      <c r="S55" s="108">
        <f>R46*0.98</f>
        <v>24.314355710165987</v>
      </c>
      <c r="U55" s="1"/>
    </row>
    <row r="56" spans="5:30" ht="13">
      <c r="E56" s="135"/>
      <c r="F56" s="135"/>
      <c r="G56" s="135"/>
      <c r="H56" s="159"/>
      <c r="I56" s="92"/>
      <c r="J56" s="92"/>
      <c r="K56" s="92"/>
      <c r="L56" s="92"/>
      <c r="M56" s="92"/>
      <c r="N56" s="92"/>
      <c r="O56" s="92"/>
      <c r="P56" s="92"/>
      <c r="Q56" s="92"/>
    </row>
    <row r="58" spans="5:30" ht="15.5">
      <c r="F58" s="258" t="s">
        <v>11</v>
      </c>
      <c r="G58" s="258"/>
      <c r="H58" s="258"/>
      <c r="I58" s="258"/>
      <c r="J58" s="258"/>
      <c r="K58" s="258"/>
      <c r="L58" s="258"/>
      <c r="M58" s="258"/>
      <c r="N58" s="258"/>
      <c r="O58" s="258"/>
      <c r="P58" s="258"/>
      <c r="Q58" s="258"/>
      <c r="R58" s="258"/>
      <c r="S58" s="258"/>
      <c r="T58" s="258"/>
      <c r="U58" s="258"/>
    </row>
    <row r="59" spans="5:30" ht="13">
      <c r="E59" s="22"/>
      <c r="F59" s="22"/>
      <c r="G59" s="22"/>
      <c r="H59" s="22"/>
      <c r="I59" s="38"/>
      <c r="J59" s="38"/>
      <c r="K59" s="38"/>
      <c r="L59"/>
      <c r="R59" s="1"/>
      <c r="S59"/>
    </row>
    <row r="60" spans="5:30" ht="13">
      <c r="E60" s="255" t="s">
        <v>107</v>
      </c>
      <c r="F60" s="256"/>
      <c r="G60" s="173">
        <v>15</v>
      </c>
      <c r="I60" s="130"/>
      <c r="J60" s="130"/>
      <c r="K60" s="173">
        <v>15</v>
      </c>
      <c r="L60"/>
      <c r="M60" s="130"/>
      <c r="N60" s="130"/>
      <c r="O60" s="173">
        <v>15</v>
      </c>
      <c r="Q60" s="130"/>
      <c r="R60" s="130"/>
      <c r="S60" s="173">
        <v>18</v>
      </c>
      <c r="U60" s="130"/>
      <c r="V60" s="130"/>
      <c r="W60" s="158"/>
      <c r="X60" s="158"/>
      <c r="Y60" s="158"/>
      <c r="Z60" s="158"/>
      <c r="AA60" s="158"/>
      <c r="AB60" s="158"/>
      <c r="AC60" s="130"/>
      <c r="AD60" s="39"/>
    </row>
    <row r="61" spans="5:30" ht="12.5" customHeight="1">
      <c r="E61" s="255" t="s">
        <v>108</v>
      </c>
      <c r="F61" s="256"/>
      <c r="G61" s="131">
        <f>K23</f>
        <v>0.88</v>
      </c>
      <c r="K61" s="131">
        <f>M23</f>
        <v>1</v>
      </c>
      <c r="L61"/>
      <c r="O61" s="131">
        <f>P23</f>
        <v>1.21</v>
      </c>
      <c r="S61" s="131">
        <f>R23</f>
        <v>1.5</v>
      </c>
      <c r="W61" s="151"/>
      <c r="X61" s="3"/>
      <c r="Y61" s="3"/>
      <c r="Z61" s="3"/>
      <c r="AA61" s="152"/>
      <c r="AB61" s="3"/>
    </row>
    <row r="62" spans="5:30" ht="12.5" customHeight="1">
      <c r="E62" s="255" t="s">
        <v>109</v>
      </c>
      <c r="F62" s="256"/>
      <c r="G62" s="115">
        <f>K9</f>
        <v>4500</v>
      </c>
      <c r="K62" s="115">
        <f>K9</f>
        <v>4500</v>
      </c>
      <c r="L62"/>
      <c r="O62" s="115">
        <f>K9</f>
        <v>4500</v>
      </c>
      <c r="S62" s="115">
        <f>K9</f>
        <v>4500</v>
      </c>
      <c r="W62" s="151"/>
      <c r="X62" s="3"/>
      <c r="Y62" s="3"/>
      <c r="Z62" s="3"/>
      <c r="AA62" s="152"/>
      <c r="AB62" s="3"/>
    </row>
    <row r="63" spans="5:30">
      <c r="L63"/>
      <c r="O63" s="3"/>
      <c r="S63"/>
      <c r="X63" s="151"/>
      <c r="Y63" s="3"/>
      <c r="Z63" s="3"/>
      <c r="AA63" s="3"/>
      <c r="AB63" s="152"/>
      <c r="AC63" s="3"/>
    </row>
    <row r="64" spans="5:30" ht="12.5" customHeight="1">
      <c r="F64" s="273" t="s">
        <v>7</v>
      </c>
      <c r="G64" s="275" t="s">
        <v>106</v>
      </c>
      <c r="H64" s="275" t="s">
        <v>84</v>
      </c>
      <c r="I64" s="277" t="s">
        <v>12</v>
      </c>
      <c r="K64" s="275" t="s">
        <v>8</v>
      </c>
      <c r="L64" s="275" t="s">
        <v>84</v>
      </c>
      <c r="M64" s="277" t="s">
        <v>12</v>
      </c>
      <c r="N64" s="254"/>
      <c r="O64" s="275" t="s">
        <v>8</v>
      </c>
      <c r="P64" s="275" t="s">
        <v>84</v>
      </c>
      <c r="Q64" s="295" t="s">
        <v>12</v>
      </c>
      <c r="R64" s="254"/>
      <c r="S64" s="292" t="s">
        <v>8</v>
      </c>
      <c r="T64" s="275" t="s">
        <v>84</v>
      </c>
      <c r="U64" s="277" t="s">
        <v>12</v>
      </c>
      <c r="V64" s="244"/>
      <c r="W64" s="244"/>
      <c r="X64" s="230"/>
      <c r="Y64" s="3"/>
      <c r="Z64" s="152"/>
      <c r="AA64" s="3"/>
    </row>
    <row r="65" spans="5:27" ht="12.5" customHeight="1">
      <c r="F65" s="274"/>
      <c r="G65" s="276"/>
      <c r="H65" s="276"/>
      <c r="I65" s="278"/>
      <c r="K65" s="294"/>
      <c r="L65" s="276"/>
      <c r="M65" s="278"/>
      <c r="N65" s="254"/>
      <c r="O65" s="294"/>
      <c r="P65" s="276"/>
      <c r="Q65" s="296"/>
      <c r="R65" s="254"/>
      <c r="S65" s="293"/>
      <c r="T65" s="276"/>
      <c r="U65" s="278"/>
      <c r="V65" s="245"/>
      <c r="W65" s="246"/>
      <c r="X65" s="231"/>
      <c r="Y65" s="3"/>
      <c r="Z65" s="152"/>
      <c r="AA65" s="3"/>
    </row>
    <row r="66" spans="5:27">
      <c r="F66" s="121">
        <f>'Speed Table'!B15</f>
        <v>1000</v>
      </c>
      <c r="G66" s="6">
        <f>F66/G61</f>
        <v>1136.3636363636363</v>
      </c>
      <c r="H66" s="37">
        <f>((F66/G61)*G60*60)/(12*5280)</f>
        <v>16.141528925619834</v>
      </c>
      <c r="I66" s="122">
        <f>H66-(H66*10/100)</f>
        <v>14.52737603305785</v>
      </c>
      <c r="K66" s="6">
        <f>F66/K61</f>
        <v>1000</v>
      </c>
      <c r="L66" s="37">
        <f>((F66/K61)*K60*60)/(12*5280)</f>
        <v>14.204545454545455</v>
      </c>
      <c r="M66" s="122">
        <f>L66-(L66*10/100)</f>
        <v>12.78409090909091</v>
      </c>
      <c r="N66" s="153"/>
      <c r="O66" s="6">
        <f>F66/O61</f>
        <v>826.44628099173553</v>
      </c>
      <c r="P66" s="37">
        <f>((F66/O61)*O60*60)/(12*5280)</f>
        <v>11.739293764087153</v>
      </c>
      <c r="Q66" s="122">
        <f>P66-(P66*10/100)</f>
        <v>10.565364387678438</v>
      </c>
      <c r="R66" s="153"/>
      <c r="S66" s="6">
        <f>F66/S61</f>
        <v>666.66666666666663</v>
      </c>
      <c r="T66" s="37">
        <f>((F66/S61)*S60*60)/(12*5280)</f>
        <v>11.363636363636363</v>
      </c>
      <c r="U66" s="122">
        <f>T66-(T66*10/100)</f>
        <v>10.227272727272727</v>
      </c>
      <c r="V66" s="151"/>
      <c r="W66" s="154"/>
      <c r="X66" s="151"/>
      <c r="Y66" s="3"/>
      <c r="Z66" s="152"/>
      <c r="AA66" s="3"/>
    </row>
    <row r="67" spans="5:27">
      <c r="F67" s="121">
        <f>'Speed Table'!B20</f>
        <v>1500</v>
      </c>
      <c r="G67" s="6">
        <f>F67/G61</f>
        <v>1704.5454545454545</v>
      </c>
      <c r="H67" s="37">
        <f>((F67/G61)*G60*60)/(12*5280)</f>
        <v>24.21229338842975</v>
      </c>
      <c r="I67" s="122">
        <f t="shared" ref="I67:I76" si="0">H67-(H67*10/100)</f>
        <v>21.791064049586776</v>
      </c>
      <c r="K67" s="6">
        <f>F67/K61</f>
        <v>1500</v>
      </c>
      <c r="L67" s="37">
        <f>((F67/K61)*K60*60)/(12*5280)</f>
        <v>21.306818181818183</v>
      </c>
      <c r="M67" s="122">
        <f t="shared" ref="M67:M76" si="1">L67-(L67*10/100)</f>
        <v>19.176136363636367</v>
      </c>
      <c r="N67" s="153"/>
      <c r="O67" s="6">
        <f>F67/O61</f>
        <v>1239.6694214876034</v>
      </c>
      <c r="P67" s="37">
        <f>((F67/O61)*O60*60)/(12*5280)</f>
        <v>17.608940646130726</v>
      </c>
      <c r="Q67" s="122">
        <f t="shared" ref="Q67:Q76" si="2">P67-(P67*10/100)</f>
        <v>15.848046581517654</v>
      </c>
      <c r="R67" s="153"/>
      <c r="S67" s="6">
        <f>F67/S61</f>
        <v>1000</v>
      </c>
      <c r="T67" s="37">
        <f>((F67/S61)*S60*60)/(12*5280)</f>
        <v>17.045454545454547</v>
      </c>
      <c r="U67" s="122">
        <f t="shared" ref="U67:U76" si="3">T67-(T67*10/100)</f>
        <v>15.340909090909092</v>
      </c>
      <c r="V67" s="151"/>
      <c r="W67" s="154"/>
      <c r="X67" s="151"/>
      <c r="Y67" s="3"/>
      <c r="Z67" s="152"/>
      <c r="AA67" s="3"/>
    </row>
    <row r="68" spans="5:27">
      <c r="F68" s="121">
        <f>'Speed Table'!B25</f>
        <v>2000</v>
      </c>
      <c r="G68" s="6">
        <f>F68/G61</f>
        <v>2272.7272727272725</v>
      </c>
      <c r="H68" s="37">
        <f>((F68/G61)*G60*60)/(12*5280)</f>
        <v>32.283057851239668</v>
      </c>
      <c r="I68" s="122">
        <f t="shared" si="0"/>
        <v>29.0547520661157</v>
      </c>
      <c r="K68" s="6">
        <f>F68/K61</f>
        <v>2000</v>
      </c>
      <c r="L68" s="37">
        <f>((F68/K61)*K60*60)/(12*5280)</f>
        <v>28.40909090909091</v>
      </c>
      <c r="M68" s="122">
        <f t="shared" si="1"/>
        <v>25.56818181818182</v>
      </c>
      <c r="N68" s="153"/>
      <c r="O68" s="6">
        <f>F68/O61</f>
        <v>1652.8925619834711</v>
      </c>
      <c r="P68" s="37">
        <f>((F68/O61)*O60*60)/(12*5280)</f>
        <v>23.478587528174305</v>
      </c>
      <c r="Q68" s="122">
        <f t="shared" si="2"/>
        <v>21.130728775356875</v>
      </c>
      <c r="R68" s="153"/>
      <c r="S68" s="6">
        <f>F68/S61</f>
        <v>1333.3333333333333</v>
      </c>
      <c r="T68" s="37">
        <f>((F68/S61)*S60*60)/(12*5280)</f>
        <v>22.727272727272727</v>
      </c>
      <c r="U68" s="122">
        <f t="shared" si="3"/>
        <v>20.454545454545453</v>
      </c>
      <c r="V68" s="151"/>
      <c r="W68" s="154"/>
      <c r="X68" s="151"/>
      <c r="Y68" s="3"/>
      <c r="Z68" s="152"/>
      <c r="AA68" s="3"/>
    </row>
    <row r="69" spans="5:27">
      <c r="F69" s="121">
        <f>'Speed Table'!B30</f>
        <v>2500</v>
      </c>
      <c r="G69" s="6">
        <f>F69/G61</f>
        <v>2840.909090909091</v>
      </c>
      <c r="H69" s="37">
        <f>((F69/G61)*G60*60)/(12*5280)</f>
        <v>40.353822314049594</v>
      </c>
      <c r="I69" s="122">
        <f t="shared" si="0"/>
        <v>36.318440082644635</v>
      </c>
      <c r="K69" s="6">
        <f>F69/K61</f>
        <v>2500</v>
      </c>
      <c r="L69" s="37">
        <f>((F69/K61)*K60*60)/(12*5280)</f>
        <v>35.511363636363633</v>
      </c>
      <c r="M69" s="122">
        <f t="shared" si="1"/>
        <v>31.96022727272727</v>
      </c>
      <c r="N69" s="153"/>
      <c r="O69" s="6">
        <f>F69/O61</f>
        <v>2066.1157024793388</v>
      </c>
      <c r="P69" s="37">
        <f>((F69/O61)*O60*60)/(12*5280)</f>
        <v>29.348234410217877</v>
      </c>
      <c r="Q69" s="122">
        <f t="shared" si="2"/>
        <v>26.413410969196089</v>
      </c>
      <c r="R69" s="153"/>
      <c r="S69" s="6">
        <f>F69/S61</f>
        <v>1666.6666666666667</v>
      </c>
      <c r="T69" s="37">
        <f>((F69/S61)*S60*60)/(12*5280)</f>
        <v>28.40909090909091</v>
      </c>
      <c r="U69" s="122">
        <f t="shared" si="3"/>
        <v>25.56818181818182</v>
      </c>
      <c r="V69" s="151"/>
      <c r="W69" s="154"/>
      <c r="X69" s="151"/>
      <c r="Y69" s="3"/>
      <c r="Z69" s="152"/>
      <c r="AA69" s="3"/>
    </row>
    <row r="70" spans="5:27">
      <c r="F70" s="121">
        <f>'Speed Table'!B35</f>
        <v>3000</v>
      </c>
      <c r="G70" s="6">
        <f>F70/G61</f>
        <v>3409.090909090909</v>
      </c>
      <c r="H70" s="37">
        <f>((F70/G61)*G60*60)/(12*5280)</f>
        <v>48.424586776859499</v>
      </c>
      <c r="I70" s="122">
        <f t="shared" si="0"/>
        <v>43.582128099173552</v>
      </c>
      <c r="K70" s="6">
        <f>F70/K61</f>
        <v>3000</v>
      </c>
      <c r="L70" s="37">
        <f>((F70/K61)*K60*60)/(12*5280)</f>
        <v>42.613636363636367</v>
      </c>
      <c r="M70" s="122">
        <f t="shared" si="1"/>
        <v>38.352272727272734</v>
      </c>
      <c r="N70" s="153"/>
      <c r="O70" s="6">
        <f>F70/O61</f>
        <v>2479.3388429752067</v>
      </c>
      <c r="P70" s="37">
        <f>((F70/O61)*O60*60)/(12*5280)</f>
        <v>35.217881292261453</v>
      </c>
      <c r="Q70" s="122">
        <f t="shared" si="2"/>
        <v>31.696093163035307</v>
      </c>
      <c r="R70" s="153"/>
      <c r="S70" s="6">
        <f>F70/S61</f>
        <v>2000</v>
      </c>
      <c r="T70" s="37">
        <f>((F70/S61)*S60*60)/(12*5280)</f>
        <v>34.090909090909093</v>
      </c>
      <c r="U70" s="122">
        <f t="shared" si="3"/>
        <v>30.681818181818183</v>
      </c>
      <c r="V70" s="151"/>
      <c r="W70" s="154"/>
      <c r="X70" s="151"/>
      <c r="Y70" s="3"/>
      <c r="Z70" s="152"/>
      <c r="AA70" s="3"/>
    </row>
    <row r="71" spans="5:27">
      <c r="F71" s="164">
        <f>'Speed Table'!B40</f>
        <v>3500</v>
      </c>
      <c r="G71" s="165">
        <f>F71/G61</f>
        <v>3977.2727272727275</v>
      </c>
      <c r="H71" s="166">
        <f>((F71/G61)*G60*60)/(12*5280)</f>
        <v>56.495351239669425</v>
      </c>
      <c r="I71" s="165">
        <f t="shared" si="0"/>
        <v>50.845816115702483</v>
      </c>
      <c r="J71" s="124"/>
      <c r="K71" s="165">
        <f>F71/K61</f>
        <v>3500</v>
      </c>
      <c r="L71" s="166">
        <f>((F71/K61)*K60*60)/(12*5280)</f>
        <v>49.715909090909093</v>
      </c>
      <c r="M71" s="165">
        <f t="shared" si="1"/>
        <v>44.744318181818187</v>
      </c>
      <c r="N71" s="153"/>
      <c r="O71" s="165">
        <f>F71/O61</f>
        <v>2892.5619834710747</v>
      </c>
      <c r="P71" s="166">
        <f>((F71/O61)*O60*60)/(12*5280)</f>
        <v>41.087528174305035</v>
      </c>
      <c r="Q71" s="165">
        <f t="shared" si="2"/>
        <v>36.978775356874536</v>
      </c>
      <c r="R71" s="153"/>
      <c r="S71" s="165">
        <f>F71/S61</f>
        <v>2333.3333333333335</v>
      </c>
      <c r="T71" s="166">
        <f>((F71/S61)*S60*60)/(12*5280)</f>
        <v>39.772727272727273</v>
      </c>
      <c r="U71" s="165">
        <f t="shared" si="3"/>
        <v>35.795454545454547</v>
      </c>
      <c r="V71" s="151"/>
      <c r="W71" s="154"/>
      <c r="X71" s="151"/>
      <c r="Y71" s="3"/>
      <c r="Z71" s="152"/>
      <c r="AA71" s="3"/>
    </row>
    <row r="72" spans="5:27">
      <c r="F72" s="121">
        <f>'Speed Table'!B45</f>
        <v>4000</v>
      </c>
      <c r="G72" s="6">
        <f>F72/G61</f>
        <v>4545.454545454545</v>
      </c>
      <c r="H72" s="37">
        <f>((F72/G61)*G60*60)/(12*5280)</f>
        <v>64.566115702479337</v>
      </c>
      <c r="I72" s="122">
        <f t="shared" si="0"/>
        <v>58.1095041322314</v>
      </c>
      <c r="K72" s="6">
        <f>F72/K61</f>
        <v>4000</v>
      </c>
      <c r="L72" s="37">
        <f>((F72/K61)*K60*60)/(12*5280)</f>
        <v>56.81818181818182</v>
      </c>
      <c r="M72" s="122">
        <f t="shared" si="1"/>
        <v>51.13636363636364</v>
      </c>
      <c r="N72" s="153"/>
      <c r="O72" s="6">
        <f>F72/O61</f>
        <v>3305.7851239669421</v>
      </c>
      <c r="P72" s="37">
        <f>((F72/O61)*O60*60)/(12*5280)</f>
        <v>46.957175056348611</v>
      </c>
      <c r="Q72" s="122">
        <f t="shared" si="2"/>
        <v>42.26145755071375</v>
      </c>
      <c r="R72" s="153"/>
      <c r="S72" s="6">
        <f>F72/S61</f>
        <v>2666.6666666666665</v>
      </c>
      <c r="T72" s="37">
        <f>((F72/S61)*S60*60)/(12*5280)</f>
        <v>45.454545454545453</v>
      </c>
      <c r="U72" s="122">
        <f t="shared" si="3"/>
        <v>40.909090909090907</v>
      </c>
      <c r="V72" s="151"/>
      <c r="W72" s="154"/>
      <c r="X72" s="151"/>
      <c r="Y72" s="3"/>
      <c r="Z72" s="152"/>
      <c r="AA72" s="3"/>
    </row>
    <row r="73" spans="5:27">
      <c r="F73" s="161">
        <f>'Speed Table'!B50</f>
        <v>4500</v>
      </c>
      <c r="G73" s="162">
        <f>F73/G61</f>
        <v>5113.636363636364</v>
      </c>
      <c r="H73" s="163">
        <f>((F73/G61)*G60*60)/(12*5280)</f>
        <v>72.636880165289256</v>
      </c>
      <c r="I73" s="162">
        <f t="shared" si="0"/>
        <v>65.373192148760324</v>
      </c>
      <c r="K73" s="162">
        <f>F73/K61</f>
        <v>4500</v>
      </c>
      <c r="L73" s="163">
        <f>((F73/K61)*K60*60)/(12*5280)</f>
        <v>63.920454545454547</v>
      </c>
      <c r="M73" s="162">
        <f t="shared" si="1"/>
        <v>57.528409090909093</v>
      </c>
      <c r="N73" s="153"/>
      <c r="O73" s="162">
        <f>F73/O61</f>
        <v>3719.0082644628101</v>
      </c>
      <c r="P73" s="163">
        <f>((F73/O61)*O60*60)/(12*5280)</f>
        <v>52.826821938392186</v>
      </c>
      <c r="Q73" s="162">
        <f t="shared" si="2"/>
        <v>47.544139744552965</v>
      </c>
      <c r="R73" s="153"/>
      <c r="S73" s="162">
        <f>F73/S61</f>
        <v>3000</v>
      </c>
      <c r="T73" s="163">
        <f>((F73/S61)*S60*60)/(12*5280)</f>
        <v>51.136363636363633</v>
      </c>
      <c r="U73" s="162">
        <f t="shared" si="3"/>
        <v>46.022727272727266</v>
      </c>
      <c r="V73" s="151"/>
      <c r="W73" s="154"/>
      <c r="X73" s="151"/>
      <c r="Y73" s="3"/>
      <c r="Z73" s="152"/>
      <c r="AA73" s="3"/>
    </row>
    <row r="74" spans="5:27">
      <c r="F74" s="121">
        <f>'Speed Table'!B55</f>
        <v>5000</v>
      </c>
      <c r="G74" s="6">
        <f>F74/G61</f>
        <v>5681.818181818182</v>
      </c>
      <c r="H74" s="37">
        <f>((F74/G61)*G60*60)/(12*5280)</f>
        <v>80.707644628099189</v>
      </c>
      <c r="I74" s="122">
        <f t="shared" si="0"/>
        <v>72.63688016528927</v>
      </c>
      <c r="K74" s="6">
        <f>F74/K61</f>
        <v>5000</v>
      </c>
      <c r="L74" s="37">
        <f>((F74/K61)*K60*60)/(12*5280)</f>
        <v>71.022727272727266</v>
      </c>
      <c r="M74" s="122">
        <f t="shared" si="1"/>
        <v>63.92045454545454</v>
      </c>
      <c r="N74" s="153"/>
      <c r="O74" s="6">
        <f>F74/O61</f>
        <v>4132.2314049586776</v>
      </c>
      <c r="P74" s="37">
        <f>((F74/O61)*O60*60)/(12*5280)</f>
        <v>58.696468820435754</v>
      </c>
      <c r="Q74" s="122">
        <f t="shared" si="2"/>
        <v>52.826821938392179</v>
      </c>
      <c r="R74" s="153"/>
      <c r="S74" s="6">
        <f>F74/S61</f>
        <v>3333.3333333333335</v>
      </c>
      <c r="T74" s="37">
        <f>((F74/S61)*S60*60)/(12*5280)</f>
        <v>56.81818181818182</v>
      </c>
      <c r="U74" s="122">
        <f t="shared" si="3"/>
        <v>51.13636363636364</v>
      </c>
      <c r="V74" s="151"/>
      <c r="W74" s="154"/>
      <c r="X74" s="151"/>
      <c r="Y74" s="3"/>
      <c r="Z74" s="152"/>
      <c r="AA74" s="3"/>
    </row>
    <row r="75" spans="5:27">
      <c r="F75" s="150">
        <f>'Speed Table'!B60</f>
        <v>5500</v>
      </c>
      <c r="G75" s="6">
        <f>F75/G61</f>
        <v>6250</v>
      </c>
      <c r="H75" s="37">
        <f>((F75/G61)*G60*60)/(12*5280)</f>
        <v>88.778409090909093</v>
      </c>
      <c r="I75" s="122">
        <f t="shared" si="0"/>
        <v>79.900568181818187</v>
      </c>
      <c r="K75" s="6">
        <f>F75/K61</f>
        <v>5500</v>
      </c>
      <c r="L75" s="37">
        <f>((F75/K61)*K60*60)/(12*5280)</f>
        <v>78.125</v>
      </c>
      <c r="M75" s="122">
        <f t="shared" si="1"/>
        <v>70.3125</v>
      </c>
      <c r="N75" s="155"/>
      <c r="O75" s="165">
        <f>F75/O61</f>
        <v>4545.454545454546</v>
      </c>
      <c r="P75" s="166">
        <f>((F75/O61)*O60*60)/(12*5280)</f>
        <v>64.566115702479351</v>
      </c>
      <c r="Q75" s="165">
        <f t="shared" si="2"/>
        <v>58.109504132231415</v>
      </c>
      <c r="R75" s="153"/>
      <c r="S75" s="6">
        <f>F75/S61</f>
        <v>3666.6666666666665</v>
      </c>
      <c r="T75" s="37">
        <f>((F75/S61)*S60*60)/(12*5280)</f>
        <v>62.5</v>
      </c>
      <c r="U75" s="122">
        <f t="shared" si="3"/>
        <v>56.25</v>
      </c>
      <c r="V75" s="151"/>
      <c r="W75" s="156"/>
      <c r="X75" s="114"/>
      <c r="Y75" s="3"/>
      <c r="Z75" s="152"/>
      <c r="AA75" s="3"/>
    </row>
    <row r="76" spans="5:27">
      <c r="F76" s="150">
        <f>'Speed Table'!B65</f>
        <v>6000</v>
      </c>
      <c r="G76" s="6">
        <f>F76/G61</f>
        <v>6818.181818181818</v>
      </c>
      <c r="H76" s="37">
        <f>((F76/G61)*G60*60)/(12*5280)</f>
        <v>96.849173553718998</v>
      </c>
      <c r="I76" s="122">
        <f t="shared" si="0"/>
        <v>87.164256198347104</v>
      </c>
      <c r="K76" s="6">
        <f>F76/K61</f>
        <v>6000</v>
      </c>
      <c r="L76" s="37">
        <f>((F76/K61)*K60*60)/(12*5280)</f>
        <v>85.227272727272734</v>
      </c>
      <c r="M76" s="122">
        <f t="shared" si="1"/>
        <v>76.704545454545467</v>
      </c>
      <c r="N76" s="155"/>
      <c r="O76" s="6">
        <f>F76/O61</f>
        <v>4958.6776859504134</v>
      </c>
      <c r="P76" s="37">
        <f>((F76/O61)*O60*60)/(12*5280)</f>
        <v>70.435762584522905</v>
      </c>
      <c r="Q76" s="122">
        <f t="shared" si="2"/>
        <v>63.392186326070615</v>
      </c>
      <c r="R76" s="153"/>
      <c r="S76" s="165">
        <f>F76/S61</f>
        <v>4000</v>
      </c>
      <c r="T76" s="166">
        <f>((F76/S61)*S60*60)/(12*5280)</f>
        <v>68.181818181818187</v>
      </c>
      <c r="U76" s="165">
        <f t="shared" si="3"/>
        <v>61.363636363636367</v>
      </c>
      <c r="V76" s="151"/>
      <c r="W76" s="156"/>
      <c r="X76" s="114"/>
      <c r="Y76" s="3"/>
      <c r="Z76" s="152"/>
      <c r="AA76" s="3"/>
    </row>
    <row r="77" spans="5:27">
      <c r="E77" s="118"/>
      <c r="F77" s="118"/>
      <c r="G77" s="118"/>
      <c r="H77" s="118"/>
      <c r="I77" s="118"/>
      <c r="J77" s="118"/>
      <c r="K77" s="118"/>
      <c r="L77" s="118"/>
      <c r="M77" s="118"/>
      <c r="R77" s="1"/>
      <c r="S77"/>
    </row>
    <row r="78" spans="5:27" ht="13">
      <c r="E78" s="132"/>
      <c r="F78" s="280" t="s">
        <v>118</v>
      </c>
      <c r="G78" s="280"/>
      <c r="H78" s="280"/>
      <c r="I78" s="280"/>
      <c r="J78" s="280"/>
      <c r="K78" s="280"/>
      <c r="L78" s="280"/>
      <c r="M78" s="280"/>
      <c r="N78" s="280"/>
      <c r="O78" s="280"/>
      <c r="P78" s="280"/>
      <c r="Q78" s="280"/>
      <c r="R78" s="280"/>
      <c r="S78" s="280"/>
      <c r="T78" s="280"/>
      <c r="U78" s="280"/>
    </row>
    <row r="79" spans="5:27">
      <c r="E79" s="81"/>
      <c r="F79" s="81"/>
      <c r="G79" s="81"/>
      <c r="H79" s="81"/>
      <c r="I79" s="81"/>
      <c r="J79" s="81"/>
      <c r="K79" s="81"/>
      <c r="L79" s="81"/>
      <c r="M79" s="81"/>
      <c r="R79" s="1"/>
      <c r="S79"/>
    </row>
    <row r="80" spans="5:27" ht="13">
      <c r="E80" s="69"/>
      <c r="F80" s="243" t="s">
        <v>99</v>
      </c>
      <c r="G80" s="243"/>
      <c r="H80" s="243"/>
      <c r="I80" s="243"/>
      <c r="J80" s="243"/>
      <c r="K80" s="243"/>
      <c r="L80" s="243"/>
      <c r="M80" s="243"/>
      <c r="N80" s="243"/>
      <c r="O80" s="243"/>
      <c r="P80" s="243"/>
      <c r="Q80" s="242">
        <f ca="1">NOW()</f>
        <v>41382.515382754631</v>
      </c>
      <c r="R80" s="242"/>
      <c r="S80" s="242"/>
      <c r="V80" s="1"/>
    </row>
    <row r="81" spans="4:21">
      <c r="D81" s="69"/>
      <c r="E81" s="70"/>
      <c r="F81" s="70"/>
      <c r="G81" s="70"/>
      <c r="H81" s="70"/>
      <c r="I81" s="70"/>
      <c r="J81" s="70"/>
      <c r="K81" s="70"/>
      <c r="L81" s="70"/>
      <c r="M81" s="70"/>
      <c r="R81" s="1"/>
      <c r="S81"/>
    </row>
    <row r="82" spans="4:21" ht="13">
      <c r="F82" s="243" t="s">
        <v>100</v>
      </c>
      <c r="G82" s="243"/>
      <c r="H82" s="243"/>
      <c r="I82" s="243"/>
      <c r="J82" s="243"/>
      <c r="K82" s="241" t="s">
        <v>104</v>
      </c>
      <c r="L82" s="241"/>
      <c r="M82" s="241"/>
      <c r="N82" s="241"/>
      <c r="O82" s="241"/>
      <c r="P82" s="241"/>
      <c r="Q82" s="241"/>
      <c r="R82" s="143"/>
      <c r="S82" s="143"/>
      <c r="U82" s="1"/>
    </row>
    <row r="83" spans="4:21" ht="13">
      <c r="E83" s="144"/>
      <c r="F83" s="144"/>
      <c r="G83" s="144"/>
      <c r="H83" s="89"/>
      <c r="I83" s="89"/>
      <c r="J83" s="89"/>
      <c r="K83" s="89"/>
      <c r="L83" s="89"/>
      <c r="M83" s="89"/>
      <c r="N83" s="89"/>
      <c r="O83" s="143"/>
      <c r="P83" s="143"/>
      <c r="R83" s="1"/>
      <c r="S83"/>
    </row>
    <row r="84" spans="4:21" ht="13">
      <c r="E84" s="170"/>
      <c r="F84" s="170"/>
      <c r="G84" s="170"/>
      <c r="H84" s="169"/>
      <c r="I84" s="169"/>
      <c r="J84" s="169"/>
      <c r="K84" s="169"/>
      <c r="L84" s="169"/>
      <c r="M84" s="169"/>
      <c r="N84" s="169"/>
      <c r="O84" s="143"/>
      <c r="P84" s="143"/>
      <c r="R84" s="1"/>
      <c r="S84"/>
    </row>
    <row r="85" spans="4:21" ht="13">
      <c r="E85" s="170"/>
      <c r="F85" s="170"/>
      <c r="G85" s="170"/>
      <c r="H85" s="169"/>
      <c r="I85" s="169"/>
      <c r="J85" s="169"/>
      <c r="K85" s="169"/>
      <c r="L85" s="169"/>
      <c r="M85" s="169"/>
      <c r="N85" s="169"/>
      <c r="O85" s="143"/>
      <c r="P85" s="143"/>
      <c r="R85" s="1"/>
      <c r="S85"/>
    </row>
    <row r="87" spans="4:21" ht="13">
      <c r="G87" s="238"/>
      <c r="H87" s="239"/>
      <c r="I87" s="239"/>
      <c r="J87" s="239"/>
      <c r="K87" s="239"/>
      <c r="L87" s="239"/>
      <c r="M87" s="239"/>
      <c r="N87" s="239"/>
      <c r="O87" s="239"/>
      <c r="P87" s="239"/>
      <c r="Q87" s="240"/>
      <c r="S87"/>
      <c r="T87" s="1"/>
    </row>
    <row r="88" spans="4:21" ht="15.5">
      <c r="G88" s="257" t="s">
        <v>41</v>
      </c>
      <c r="H88" s="258"/>
      <c r="I88" s="258"/>
      <c r="J88" s="258"/>
      <c r="K88" s="258"/>
      <c r="L88" s="258"/>
      <c r="M88" s="258"/>
      <c r="N88" s="258"/>
      <c r="O88" s="258"/>
      <c r="P88" s="258"/>
      <c r="Q88" s="259"/>
      <c r="S88"/>
      <c r="T88" s="1"/>
    </row>
    <row r="89" spans="4:21" ht="13">
      <c r="G89" s="235"/>
      <c r="H89" s="236"/>
      <c r="I89" s="236"/>
      <c r="J89" s="236"/>
      <c r="K89" s="236"/>
      <c r="L89" s="236"/>
      <c r="M89" s="236"/>
      <c r="N89" s="236"/>
      <c r="O89" s="236"/>
      <c r="P89" s="236"/>
      <c r="Q89" s="237"/>
      <c r="S89"/>
      <c r="T89" s="1"/>
    </row>
    <row r="90" spans="4:21" ht="15">
      <c r="G90" s="110" t="s">
        <v>50</v>
      </c>
      <c r="H90" s="111" t="s">
        <v>51</v>
      </c>
      <c r="I90" s="111"/>
      <c r="J90" s="38"/>
      <c r="K90" s="38"/>
      <c r="L90" s="38"/>
      <c r="M90" s="38"/>
      <c r="N90" s="38"/>
      <c r="O90" s="38"/>
      <c r="P90" s="38"/>
      <c r="Q90" s="98"/>
      <c r="R90" s="85"/>
      <c r="S90"/>
      <c r="T90" s="1"/>
    </row>
    <row r="91" spans="4:21" ht="13">
      <c r="G91" s="99"/>
      <c r="H91" s="38"/>
      <c r="I91" s="38"/>
      <c r="J91" s="38"/>
      <c r="K91" s="38"/>
      <c r="L91" s="38"/>
      <c r="M91" s="38"/>
      <c r="N91" s="38"/>
      <c r="O91" s="38"/>
      <c r="P91" s="38"/>
      <c r="Q91" s="98"/>
      <c r="R91" s="85"/>
      <c r="S91"/>
      <c r="T91" s="1"/>
    </row>
    <row r="92" spans="4:21" ht="13">
      <c r="G92" s="100" t="s">
        <v>64</v>
      </c>
      <c r="H92" s="140"/>
      <c r="I92" s="140"/>
      <c r="J92" s="140"/>
      <c r="K92" s="140"/>
      <c r="L92" s="140"/>
      <c r="M92" s="140"/>
      <c r="N92" s="140"/>
      <c r="O92" s="140"/>
      <c r="P92" s="140"/>
      <c r="Q92" s="12"/>
      <c r="S92"/>
      <c r="T92" s="1"/>
    </row>
    <row r="93" spans="4:21" ht="13">
      <c r="G93" s="101"/>
      <c r="H93" s="140"/>
      <c r="I93" s="140"/>
      <c r="J93" s="140"/>
      <c r="K93" s="140"/>
      <c r="L93" s="140"/>
      <c r="M93" s="140"/>
      <c r="N93" s="140"/>
      <c r="O93" s="140"/>
      <c r="P93" s="140"/>
      <c r="Q93" s="12"/>
      <c r="S93"/>
      <c r="T93" s="1"/>
    </row>
    <row r="94" spans="4:21" ht="13">
      <c r="G94" s="99" t="s">
        <v>46</v>
      </c>
      <c r="H94" s="271" t="s">
        <v>42</v>
      </c>
      <c r="I94" s="271"/>
      <c r="J94" s="271"/>
      <c r="K94" s="271"/>
      <c r="L94" s="271"/>
      <c r="M94" s="271"/>
      <c r="N94" s="271"/>
      <c r="O94" s="271"/>
      <c r="P94" s="271"/>
      <c r="Q94" s="272"/>
      <c r="S94"/>
      <c r="T94" s="1"/>
    </row>
    <row r="95" spans="4:21" ht="13">
      <c r="G95" s="99" t="s">
        <v>47</v>
      </c>
      <c r="H95" s="271" t="s">
        <v>43</v>
      </c>
      <c r="I95" s="271"/>
      <c r="J95" s="271"/>
      <c r="K95" s="271"/>
      <c r="L95" s="271"/>
      <c r="M95" s="271"/>
      <c r="N95" s="271"/>
      <c r="O95" s="271"/>
      <c r="P95" s="271"/>
      <c r="Q95" s="272"/>
      <c r="S95"/>
      <c r="T95" s="1"/>
    </row>
    <row r="96" spans="4:21" ht="13">
      <c r="G96" s="99" t="s">
        <v>48</v>
      </c>
      <c r="H96" s="271" t="s">
        <v>44</v>
      </c>
      <c r="I96" s="271"/>
      <c r="J96" s="271"/>
      <c r="K96" s="271"/>
      <c r="L96" s="271"/>
      <c r="M96" s="271"/>
      <c r="N96" s="271"/>
      <c r="O96" s="271"/>
      <c r="P96" s="271"/>
      <c r="Q96" s="272"/>
      <c r="S96"/>
      <c r="T96" s="1"/>
    </row>
    <row r="97" spans="7:20" ht="13">
      <c r="G97" s="99" t="s">
        <v>49</v>
      </c>
      <c r="H97" s="271" t="s">
        <v>45</v>
      </c>
      <c r="I97" s="271"/>
      <c r="J97" s="271"/>
      <c r="K97" s="271"/>
      <c r="L97" s="271"/>
      <c r="M97" s="271"/>
      <c r="N97" s="271"/>
      <c r="O97" s="271"/>
      <c r="P97" s="271"/>
      <c r="Q97" s="272"/>
      <c r="S97"/>
      <c r="T97" s="1"/>
    </row>
    <row r="98" spans="7:20" ht="13">
      <c r="G98" s="99"/>
      <c r="H98" s="138"/>
      <c r="I98" s="138"/>
      <c r="J98" s="138"/>
      <c r="K98" s="138"/>
      <c r="L98" s="138"/>
      <c r="M98" s="138"/>
      <c r="N98" s="138"/>
      <c r="O98" s="138"/>
      <c r="P98" s="138"/>
      <c r="Q98" s="139"/>
      <c r="S98"/>
      <c r="T98" s="1"/>
    </row>
    <row r="99" spans="7:20" ht="15">
      <c r="G99" s="10" t="s">
        <v>36</v>
      </c>
      <c r="H99" s="137" t="s">
        <v>19</v>
      </c>
      <c r="I99" s="137" t="s">
        <v>37</v>
      </c>
      <c r="J99" s="137" t="s">
        <v>27</v>
      </c>
      <c r="K99" s="137" t="s">
        <v>38</v>
      </c>
      <c r="L99" s="137" t="s">
        <v>39</v>
      </c>
      <c r="M99" s="11" t="s">
        <v>27</v>
      </c>
      <c r="N99" s="137" t="s">
        <v>21</v>
      </c>
      <c r="O99" s="137" t="s">
        <v>40</v>
      </c>
      <c r="P99" s="102">
        <v>0.5</v>
      </c>
      <c r="Q99" s="12"/>
      <c r="S99"/>
      <c r="T99" s="1"/>
    </row>
    <row r="100" spans="7:20" ht="14.5">
      <c r="G100" s="103"/>
      <c r="H100" s="74" t="s">
        <v>19</v>
      </c>
      <c r="I100" s="14">
        <f>K19</f>
        <v>150</v>
      </c>
      <c r="J100" s="137" t="s">
        <v>27</v>
      </c>
      <c r="K100" s="137" t="s">
        <v>38</v>
      </c>
      <c r="L100" s="137">
        <f>K11</f>
        <v>3500</v>
      </c>
      <c r="M100" s="11" t="s">
        <v>27</v>
      </c>
      <c r="N100" s="13">
        <f>K32</f>
        <v>305.50416749999999</v>
      </c>
      <c r="O100" s="137" t="s">
        <v>40</v>
      </c>
      <c r="P100" s="102">
        <v>0.5</v>
      </c>
      <c r="Q100" s="12"/>
      <c r="S100"/>
      <c r="T100" s="1"/>
    </row>
    <row r="101" spans="7:20" ht="14.5">
      <c r="G101" s="103"/>
      <c r="H101" s="74" t="s">
        <v>19</v>
      </c>
      <c r="I101" s="14">
        <f>I100</f>
        <v>150</v>
      </c>
      <c r="J101" s="137" t="s">
        <v>27</v>
      </c>
      <c r="K101" s="137" t="s">
        <v>38</v>
      </c>
      <c r="L101" s="268">
        <f>L100/N100</f>
        <v>11.456472193624004</v>
      </c>
      <c r="M101" s="268"/>
      <c r="N101" s="268"/>
      <c r="O101" s="137" t="s">
        <v>40</v>
      </c>
      <c r="P101" s="102">
        <v>0.5</v>
      </c>
      <c r="Q101" s="12"/>
      <c r="S101"/>
      <c r="T101" s="1"/>
    </row>
    <row r="102" spans="7:20">
      <c r="G102" s="103"/>
      <c r="H102" s="74" t="s">
        <v>19</v>
      </c>
      <c r="I102" s="14">
        <f>I101</f>
        <v>150</v>
      </c>
      <c r="J102" s="137" t="s">
        <v>27</v>
      </c>
      <c r="K102" s="268">
        <f>POWER(L101,0.5)</f>
        <v>3.384741082213528</v>
      </c>
      <c r="L102" s="268"/>
      <c r="M102" s="268"/>
      <c r="N102" s="268"/>
      <c r="O102" s="268"/>
      <c r="P102" s="104"/>
      <c r="Q102" s="12"/>
      <c r="S102"/>
      <c r="T102" s="1"/>
    </row>
    <row r="103" spans="7:20">
      <c r="G103" s="103"/>
      <c r="H103" s="74" t="s">
        <v>19</v>
      </c>
      <c r="I103" s="268">
        <f>I102/K102</f>
        <v>44.316535993915409</v>
      </c>
      <c r="J103" s="268"/>
      <c r="K103" s="268"/>
      <c r="L103" s="268"/>
      <c r="M103" s="268"/>
      <c r="N103" s="2"/>
      <c r="O103" s="2"/>
      <c r="P103" s="2"/>
      <c r="Q103" s="12"/>
      <c r="S103"/>
      <c r="T103" s="1"/>
    </row>
    <row r="104" spans="7:20">
      <c r="G104" s="103"/>
      <c r="H104" s="74" t="s">
        <v>19</v>
      </c>
      <c r="I104" s="265" t="str">
        <f>ROUNDUP(I103,0) &amp; " Knots"</f>
        <v>45 Knots</v>
      </c>
      <c r="J104" s="265"/>
      <c r="K104" s="265"/>
      <c r="L104" s="105"/>
      <c r="M104" s="269" t="str">
        <f>"( "&amp;ROUNDUP(I103*1.15077945,0)&amp;" MPH )"</f>
        <v>( 51 MPH )</v>
      </c>
      <c r="N104" s="270"/>
      <c r="O104" s="270"/>
      <c r="P104" s="2"/>
      <c r="Q104" s="12"/>
      <c r="S104"/>
      <c r="T104" s="1"/>
    </row>
    <row r="105" spans="7:20">
      <c r="G105" s="15"/>
      <c r="H105" s="16"/>
      <c r="I105" s="16"/>
      <c r="J105" s="16"/>
      <c r="K105" s="16"/>
      <c r="L105" s="16"/>
      <c r="M105" s="17"/>
      <c r="N105" s="16"/>
      <c r="O105" s="16"/>
      <c r="P105" s="16"/>
      <c r="Q105" s="18"/>
      <c r="S105"/>
      <c r="T105" s="1"/>
    </row>
    <row r="106" spans="7:20">
      <c r="G106" s="2"/>
      <c r="H106" s="2"/>
      <c r="I106" s="2"/>
      <c r="J106" s="2"/>
      <c r="K106" s="2"/>
      <c r="L106" s="2"/>
      <c r="M106" s="11"/>
      <c r="N106" s="2"/>
      <c r="O106" s="2"/>
      <c r="P106" s="2"/>
      <c r="Q106" s="2"/>
      <c r="S106"/>
      <c r="T106" s="1"/>
    </row>
    <row r="107" spans="7:20">
      <c r="G107" s="2"/>
      <c r="H107" s="2"/>
      <c r="I107" s="2"/>
      <c r="J107" s="2"/>
      <c r="K107" s="2"/>
      <c r="L107" s="2"/>
      <c r="M107" s="11"/>
      <c r="N107" s="2"/>
      <c r="O107" s="2"/>
      <c r="P107" s="2"/>
      <c r="Q107" s="2"/>
      <c r="S107"/>
      <c r="T107" s="1"/>
    </row>
    <row r="108" spans="7:20" ht="15.5">
      <c r="G108" s="249" t="s">
        <v>114</v>
      </c>
      <c r="H108" s="249"/>
      <c r="I108" s="249"/>
      <c r="J108" s="249"/>
      <c r="K108" s="249"/>
      <c r="L108" s="249"/>
      <c r="M108" s="249"/>
      <c r="N108" s="249"/>
      <c r="O108" s="249"/>
      <c r="P108" s="249"/>
      <c r="Q108" s="249"/>
      <c r="S108"/>
      <c r="T108" s="1"/>
    </row>
    <row r="109" spans="7:20">
      <c r="L109"/>
      <c r="M109" s="4"/>
      <c r="S109"/>
      <c r="T109" s="1"/>
    </row>
    <row r="110" spans="7:20" ht="13">
      <c r="G110" s="248" t="s">
        <v>115</v>
      </c>
      <c r="H110" s="248"/>
      <c r="I110" s="248"/>
      <c r="J110" s="248"/>
      <c r="K110" s="248"/>
      <c r="L110" s="248"/>
      <c r="M110" s="248"/>
      <c r="N110" s="248"/>
      <c r="O110" s="248"/>
      <c r="P110" s="248"/>
      <c r="Q110" s="248"/>
      <c r="S110"/>
      <c r="T110" s="1"/>
    </row>
    <row r="111" spans="7:20" ht="13">
      <c r="G111" s="248" t="s">
        <v>116</v>
      </c>
      <c r="H111" s="248"/>
      <c r="I111" s="248"/>
      <c r="J111" s="248"/>
      <c r="K111" s="248"/>
      <c r="L111" s="248"/>
      <c r="M111" s="248"/>
      <c r="N111" s="248"/>
      <c r="O111" s="248"/>
      <c r="P111" s="248"/>
      <c r="Q111" s="248"/>
      <c r="S111"/>
      <c r="T111" s="1"/>
    </row>
    <row r="112" spans="7:20" ht="13"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S112"/>
      <c r="T112" s="1"/>
    </row>
    <row r="113" spans="6:20">
      <c r="H113" s="84"/>
      <c r="I113" s="83"/>
      <c r="J113" s="83"/>
      <c r="K113" s="83"/>
      <c r="L113" s="83"/>
      <c r="M113" s="83"/>
      <c r="S113"/>
      <c r="T113" s="1"/>
    </row>
    <row r="114" spans="6:20" ht="15.5">
      <c r="F114" s="176"/>
      <c r="G114" s="249" t="s">
        <v>96</v>
      </c>
      <c r="H114" s="249"/>
      <c r="I114" s="249"/>
      <c r="J114" s="249"/>
      <c r="K114" s="249"/>
      <c r="L114" s="249"/>
      <c r="M114" s="249"/>
      <c r="N114" s="249"/>
      <c r="O114" s="249"/>
      <c r="P114" s="249"/>
      <c r="Q114" s="249"/>
    </row>
    <row r="115" spans="6:20">
      <c r="F115" s="1"/>
    </row>
    <row r="116" spans="6:20" ht="16">
      <c r="G116" s="134" t="s">
        <v>98</v>
      </c>
      <c r="L116"/>
      <c r="M116" s="4"/>
    </row>
    <row r="117" spans="6:20" ht="13">
      <c r="F117" s="134"/>
    </row>
    <row r="118" spans="6:20">
      <c r="G118" s="1" t="s">
        <v>97</v>
      </c>
      <c r="L118"/>
      <c r="M118" s="4"/>
    </row>
    <row r="119" spans="6:20">
      <c r="F119" s="1"/>
    </row>
    <row r="120" spans="6:20" ht="13">
      <c r="G120" s="129" t="s">
        <v>93</v>
      </c>
      <c r="H120" s="1" t="s">
        <v>92</v>
      </c>
      <c r="L120"/>
      <c r="M120" s="4"/>
    </row>
    <row r="121" spans="6:20" ht="15">
      <c r="G121" s="129" t="s">
        <v>94</v>
      </c>
      <c r="H121" s="1" t="s">
        <v>90</v>
      </c>
      <c r="L121"/>
      <c r="M121" s="4"/>
    </row>
    <row r="122" spans="6:20" ht="15">
      <c r="G122" s="129" t="s">
        <v>95</v>
      </c>
      <c r="H122" s="1" t="s">
        <v>91</v>
      </c>
      <c r="L122"/>
      <c r="M122" s="4"/>
    </row>
    <row r="130" spans="6:8">
      <c r="F130" s="229"/>
      <c r="G130" s="229"/>
      <c r="H130" s="229"/>
    </row>
  </sheetData>
  <sheetProtection password="D10D" sheet="1" objects="1" scenarios="1" selectLockedCells="1"/>
  <mergeCells count="173">
    <mergeCell ref="E29:J29"/>
    <mergeCell ref="E30:J30"/>
    <mergeCell ref="E37:J37"/>
    <mergeCell ref="E38:J38"/>
    <mergeCell ref="E39:J39"/>
    <mergeCell ref="E32:J32"/>
    <mergeCell ref="E42:J42"/>
    <mergeCell ref="E43:J43"/>
    <mergeCell ref="G114:Q114"/>
    <mergeCell ref="F78:U78"/>
    <mergeCell ref="S64:S65"/>
    <mergeCell ref="K64:K65"/>
    <mergeCell ref="L64:L65"/>
    <mergeCell ref="M64:M65"/>
    <mergeCell ref="O64:O65"/>
    <mergeCell ref="P64:P65"/>
    <mergeCell ref="Q64:Q65"/>
    <mergeCell ref="F58:U58"/>
    <mergeCell ref="T64:T65"/>
    <mergeCell ref="U64:U65"/>
    <mergeCell ref="R64:R65"/>
    <mergeCell ref="E60:F60"/>
    <mergeCell ref="E61:F61"/>
    <mergeCell ref="E62:F62"/>
    <mergeCell ref="E2:U2"/>
    <mergeCell ref="E4:U4"/>
    <mergeCell ref="O12:T12"/>
    <mergeCell ref="F18:J18"/>
    <mergeCell ref="E33:J33"/>
    <mergeCell ref="F51:J51"/>
    <mergeCell ref="F54:J54"/>
    <mergeCell ref="F55:J55"/>
    <mergeCell ref="E47:J47"/>
    <mergeCell ref="G24:J24"/>
    <mergeCell ref="U33:W33"/>
    <mergeCell ref="G50:J50"/>
    <mergeCell ref="E28:J28"/>
    <mergeCell ref="G25:J25"/>
    <mergeCell ref="G26:J26"/>
    <mergeCell ref="G27:J27"/>
    <mergeCell ref="P42:Q42"/>
    <mergeCell ref="P43:Q43"/>
    <mergeCell ref="P44:Q44"/>
    <mergeCell ref="K39:L39"/>
    <mergeCell ref="K41:L41"/>
    <mergeCell ref="K42:L42"/>
    <mergeCell ref="P7:S7"/>
    <mergeCell ref="K7:N7"/>
    <mergeCell ref="F64:F65"/>
    <mergeCell ref="G64:G65"/>
    <mergeCell ref="H64:H65"/>
    <mergeCell ref="I64:I65"/>
    <mergeCell ref="M36:N36"/>
    <mergeCell ref="M34:N34"/>
    <mergeCell ref="M35:N35"/>
    <mergeCell ref="M37:N37"/>
    <mergeCell ref="M39:N39"/>
    <mergeCell ref="F52:J52"/>
    <mergeCell ref="L101:N101"/>
    <mergeCell ref="K102:O102"/>
    <mergeCell ref="I103:M103"/>
    <mergeCell ref="I104:K104"/>
    <mergeCell ref="M104:O104"/>
    <mergeCell ref="H97:Q97"/>
    <mergeCell ref="H96:Q96"/>
    <mergeCell ref="H95:Q95"/>
    <mergeCell ref="H94:Q94"/>
    <mergeCell ref="G88:Q88"/>
    <mergeCell ref="E44:J44"/>
    <mergeCell ref="E45:J45"/>
    <mergeCell ref="E46:J46"/>
    <mergeCell ref="G8:J8"/>
    <mergeCell ref="G9:J9"/>
    <mergeCell ref="G10:J10"/>
    <mergeCell ref="G11:J11"/>
    <mergeCell ref="G12:J12"/>
    <mergeCell ref="M23:N23"/>
    <mergeCell ref="O19:V19"/>
    <mergeCell ref="O20:V20"/>
    <mergeCell ref="G13:J13"/>
    <mergeCell ref="G14:J14"/>
    <mergeCell ref="G15:J15"/>
    <mergeCell ref="G16:J16"/>
    <mergeCell ref="G17:J17"/>
    <mergeCell ref="G19:J19"/>
    <mergeCell ref="G23:J23"/>
    <mergeCell ref="K22:N22"/>
    <mergeCell ref="P22:S22"/>
    <mergeCell ref="P23:Q23"/>
    <mergeCell ref="R23:S23"/>
    <mergeCell ref="K23:L23"/>
    <mergeCell ref="G34:J34"/>
    <mergeCell ref="G35:J35"/>
    <mergeCell ref="K35:L35"/>
    <mergeCell ref="K36:L36"/>
    <mergeCell ref="K37:L37"/>
    <mergeCell ref="G31:J31"/>
    <mergeCell ref="N64:N65"/>
    <mergeCell ref="M45:N45"/>
    <mergeCell ref="G53:J53"/>
    <mergeCell ref="G48:J48"/>
    <mergeCell ref="G49:J49"/>
    <mergeCell ref="K43:L43"/>
    <mergeCell ref="K44:L44"/>
    <mergeCell ref="G41:J41"/>
    <mergeCell ref="M49:N49"/>
    <mergeCell ref="K27:L27"/>
    <mergeCell ref="K38:L38"/>
    <mergeCell ref="M38:N38"/>
    <mergeCell ref="M46:N46"/>
    <mergeCell ref="M41:N41"/>
    <mergeCell ref="M42:N42"/>
    <mergeCell ref="M43:N43"/>
    <mergeCell ref="M44:N44"/>
    <mergeCell ref="F130:H130"/>
    <mergeCell ref="X64:X65"/>
    <mergeCell ref="P49:Q49"/>
    <mergeCell ref="R49:S49"/>
    <mergeCell ref="P45:Q45"/>
    <mergeCell ref="P46:Q46"/>
    <mergeCell ref="R45:S45"/>
    <mergeCell ref="R46:S46"/>
    <mergeCell ref="K49:L49"/>
    <mergeCell ref="K45:L45"/>
    <mergeCell ref="K46:L46"/>
    <mergeCell ref="G89:Q89"/>
    <mergeCell ref="G87:Q87"/>
    <mergeCell ref="K82:Q82"/>
    <mergeCell ref="Q80:S80"/>
    <mergeCell ref="F80:P80"/>
    <mergeCell ref="V64:V65"/>
    <mergeCell ref="W64:W65"/>
    <mergeCell ref="K47:N47"/>
    <mergeCell ref="P47:S47"/>
    <mergeCell ref="G110:Q110"/>
    <mergeCell ref="G111:Q111"/>
    <mergeCell ref="G108:Q108"/>
    <mergeCell ref="F82:J82"/>
    <mergeCell ref="P24:S24"/>
    <mergeCell ref="P25:S25"/>
    <mergeCell ref="K24:N24"/>
    <mergeCell ref="K25:N25"/>
    <mergeCell ref="K26:N26"/>
    <mergeCell ref="K28:N28"/>
    <mergeCell ref="K29:N29"/>
    <mergeCell ref="K30:N30"/>
    <mergeCell ref="K32:N32"/>
    <mergeCell ref="P26:S26"/>
    <mergeCell ref="P28:S28"/>
    <mergeCell ref="P29:S29"/>
    <mergeCell ref="P30:S30"/>
    <mergeCell ref="K31:L31"/>
    <mergeCell ref="M27:N27"/>
    <mergeCell ref="M31:N31"/>
    <mergeCell ref="P32:S32"/>
    <mergeCell ref="R44:S44"/>
    <mergeCell ref="R43:S43"/>
    <mergeCell ref="R41:S41"/>
    <mergeCell ref="R42:S42"/>
    <mergeCell ref="R34:S34"/>
    <mergeCell ref="R37:S37"/>
    <mergeCell ref="R38:S38"/>
    <mergeCell ref="R39:S39"/>
    <mergeCell ref="K33:N33"/>
    <mergeCell ref="P33:S33"/>
    <mergeCell ref="P37:Q37"/>
    <mergeCell ref="P38:Q38"/>
    <mergeCell ref="P39:Q39"/>
    <mergeCell ref="P41:Q41"/>
    <mergeCell ref="P34:Q34"/>
    <mergeCell ref="P35:Q35"/>
    <mergeCell ref="K34:L34"/>
    <mergeCell ref="R35:S35"/>
  </mergeCells>
  <phoneticPr fontId="0" type="noConversion"/>
  <hyperlinks>
    <hyperlink ref="K82" r:id="rId1" display="http://www.kanecustomboats.com"/>
    <hyperlink ref="K82:Q82" r:id="rId2" display="http://www.KaneCustomBoats.com"/>
  </hyperlinks>
  <printOptions horizontalCentered="1"/>
  <pageMargins left="0.74803149606299213" right="0.74803149606299213" top="0.39370078740157483" bottom="0.51181102362204722" header="0.74803149606299213" footer="0.51181102362204722"/>
  <pageSetup paperSize="9" scale="62" fitToHeight="0" orientation="portrait" r:id="rId3"/>
  <headerFooter alignWithMargins="0"/>
  <rowBreaks count="2" manualBreakCount="2">
    <brk id="84" min="3" max="21" man="1"/>
    <brk id="124" min="3" max="214" man="1"/>
  </rowBreaks>
  <colBreaks count="1" manualBreakCount="1">
    <brk id="10" max="122" man="1"/>
  </colBreaks>
  <webPublishItems count="1">
    <webPublishItem id="16177" divId="prop_calcs_plus_5_180vs180_16177" sourceType="range" sourceRef="N75:X76" destinationFile="C:\Users\Paul Kane\Documents\Boating\Spreadsheets\Prop Calcs\prop_calcs_plus_5_180vs18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dimension ref="A2:S71"/>
  <sheetViews>
    <sheetView topLeftCell="A73" zoomScaleNormal="100" zoomScalePageLayoutView="75" workbookViewId="0">
      <selection activeCell="N6" sqref="N6"/>
    </sheetView>
  </sheetViews>
  <sheetFormatPr defaultColWidth="8.90625" defaultRowHeight="14.5"/>
  <cols>
    <col min="1" max="1" width="9.08984375" style="23" customWidth="1"/>
    <col min="2" max="2" width="8.90625" style="23" customWidth="1"/>
    <col min="3" max="4" width="8.90625" style="23"/>
    <col min="5" max="5" width="8.90625" style="32"/>
    <col min="6" max="7" width="8.90625" style="24"/>
    <col min="8" max="16384" width="8.90625" style="23"/>
  </cols>
  <sheetData>
    <row r="2" spans="2:19" ht="15.5">
      <c r="B2" s="298" t="s">
        <v>34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</row>
    <row r="3" spans="2:19" ht="15.5"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</row>
    <row r="4" spans="2:19"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2:19">
      <c r="B5" s="297" t="s">
        <v>112</v>
      </c>
      <c r="C5" s="297"/>
      <c r="D5" s="297"/>
      <c r="E5" s="198">
        <f>'Torque &amp; Shaft Horsepower'!$G$60</f>
        <v>15</v>
      </c>
      <c r="F5" s="34"/>
      <c r="G5" s="34"/>
      <c r="H5" s="34"/>
      <c r="I5" s="34"/>
      <c r="J5" s="34"/>
      <c r="K5" s="297" t="s">
        <v>112</v>
      </c>
      <c r="L5" s="297"/>
      <c r="M5" s="297"/>
      <c r="N5" s="200">
        <f>ROUND('Torque &amp; Shaft Horsepower'!$K$60,0)</f>
        <v>15</v>
      </c>
      <c r="O5" s="119"/>
      <c r="P5" s="119"/>
      <c r="Q5" s="119"/>
      <c r="R5" s="119"/>
      <c r="S5" s="34"/>
    </row>
    <row r="6" spans="2:19">
      <c r="B6" s="297" t="s">
        <v>113</v>
      </c>
      <c r="C6" s="297"/>
      <c r="D6" s="297"/>
      <c r="E6" s="199">
        <f>'Torque &amp; Shaft Horsepower'!$G$61</f>
        <v>0.88</v>
      </c>
      <c r="K6" s="297" t="s">
        <v>113</v>
      </c>
      <c r="L6" s="297"/>
      <c r="M6" s="297"/>
      <c r="N6" s="199">
        <f>'Torque &amp; Shaft Horsepower'!$K$61</f>
        <v>1</v>
      </c>
      <c r="O6" s="24"/>
      <c r="P6" s="24"/>
    </row>
    <row r="7" spans="2:19">
      <c r="B7" s="35"/>
      <c r="C7" s="35"/>
      <c r="D7" s="35"/>
      <c r="E7" s="36"/>
      <c r="K7" s="120"/>
      <c r="L7" s="120"/>
      <c r="M7" s="120"/>
      <c r="N7" s="36"/>
      <c r="O7" s="24"/>
      <c r="P7" s="24"/>
    </row>
    <row r="8" spans="2:19">
      <c r="B8" s="35"/>
      <c r="C8" s="35"/>
      <c r="D8" s="35"/>
      <c r="E8" s="36"/>
      <c r="K8" s="120"/>
      <c r="L8" s="120"/>
      <c r="M8" s="120"/>
      <c r="N8" s="36"/>
      <c r="O8" s="24"/>
      <c r="P8" s="24"/>
    </row>
    <row r="9" spans="2:19">
      <c r="C9" s="32"/>
      <c r="D9" s="24"/>
      <c r="E9" s="303" t="s">
        <v>6</v>
      </c>
      <c r="F9" s="304"/>
      <c r="G9" s="304"/>
      <c r="H9" s="304"/>
      <c r="I9" s="305"/>
      <c r="L9" s="32"/>
      <c r="M9" s="24"/>
      <c r="N9" s="303" t="s">
        <v>6</v>
      </c>
      <c r="O9" s="304"/>
      <c r="P9" s="304"/>
      <c r="Q9" s="304"/>
      <c r="R9" s="305"/>
    </row>
    <row r="10" spans="2:19" s="25" customFormat="1">
      <c r="B10" s="27" t="s">
        <v>7</v>
      </c>
      <c r="C10" s="67" t="s">
        <v>8</v>
      </c>
      <c r="D10" s="68" t="s">
        <v>9</v>
      </c>
      <c r="E10" s="26">
        <v>10</v>
      </c>
      <c r="F10" s="27">
        <v>20</v>
      </c>
      <c r="G10" s="27">
        <v>30</v>
      </c>
      <c r="H10" s="27">
        <v>40</v>
      </c>
      <c r="I10" s="27">
        <v>50</v>
      </c>
      <c r="K10" s="27" t="s">
        <v>7</v>
      </c>
      <c r="L10" s="67" t="s">
        <v>8</v>
      </c>
      <c r="M10" s="68" t="s">
        <v>9</v>
      </c>
      <c r="N10" s="26">
        <v>10</v>
      </c>
      <c r="O10" s="27">
        <v>20</v>
      </c>
      <c r="P10" s="27">
        <v>30</v>
      </c>
      <c r="Q10" s="27">
        <v>40</v>
      </c>
      <c r="R10" s="27">
        <v>50</v>
      </c>
    </row>
    <row r="11" spans="2:19">
      <c r="B11" s="28">
        <v>600</v>
      </c>
      <c r="C11" s="33">
        <f>$B11/$E6</f>
        <v>681.81818181818187</v>
      </c>
      <c r="D11" s="29">
        <f>(($B11/$E6)*$E5*60)/(12*5280)</f>
        <v>9.6849173553719012</v>
      </c>
      <c r="E11" s="197">
        <f t="shared" ref="E11:E13" si="0">D11-(D11*10/100)</f>
        <v>8.7164256198347108</v>
      </c>
      <c r="F11" s="29">
        <f t="shared" ref="F11:F13" si="1">D11-(D11*20/100)</f>
        <v>7.7479338842975212</v>
      </c>
      <c r="G11" s="29">
        <f t="shared" ref="G11:G13" si="2">D11-(D11*30/100)</f>
        <v>6.7794421487603316</v>
      </c>
      <c r="H11" s="29">
        <f t="shared" ref="H11:H13" si="3">D11-(D11*40/100)</f>
        <v>5.8109504132231411</v>
      </c>
      <c r="I11" s="29">
        <f t="shared" ref="I11:I13" si="4">D11-(D11*40/100)</f>
        <v>5.8109504132231411</v>
      </c>
      <c r="K11" s="28">
        <f>$B11</f>
        <v>600</v>
      </c>
      <c r="L11" s="33">
        <f>$B11/$N6</f>
        <v>600</v>
      </c>
      <c r="M11" s="29">
        <f>(($B11/$N6)*$N5*60)/(12*5280)</f>
        <v>8.5227272727272734</v>
      </c>
      <c r="N11" s="197">
        <f t="shared" ref="N11:N13" si="5">M11-(M11*10/100)</f>
        <v>7.6704545454545459</v>
      </c>
      <c r="O11" s="29">
        <f t="shared" ref="O11:O13" si="6">M11-(M11*20/100)</f>
        <v>6.8181818181818183</v>
      </c>
      <c r="P11" s="29">
        <f t="shared" ref="P11:P13" si="7">M11-(M11*30/100)</f>
        <v>5.9659090909090917</v>
      </c>
      <c r="Q11" s="29">
        <f t="shared" ref="Q11:Q13" si="8">M11-(M11*40/100)</f>
        <v>5.1136363636363642</v>
      </c>
      <c r="R11" s="29">
        <f t="shared" ref="R11:R13" si="9">M11-(M11*40/100)</f>
        <v>5.1136363636363642</v>
      </c>
    </row>
    <row r="12" spans="2:19">
      <c r="B12" s="28">
        <v>700</v>
      </c>
      <c r="C12" s="33">
        <f>$B12/$E6</f>
        <v>795.4545454545455</v>
      </c>
      <c r="D12" s="29">
        <f>(($B12/$E6)*$E5*60)/(12*5280)</f>
        <v>11.299070247933885</v>
      </c>
      <c r="E12" s="197">
        <f t="shared" si="0"/>
        <v>10.169163223140497</v>
      </c>
      <c r="F12" s="29">
        <f t="shared" si="1"/>
        <v>9.0392561983471076</v>
      </c>
      <c r="G12" s="29">
        <f t="shared" si="2"/>
        <v>7.9093491735537196</v>
      </c>
      <c r="H12" s="29">
        <f t="shared" si="3"/>
        <v>6.7794421487603316</v>
      </c>
      <c r="I12" s="29">
        <f t="shared" si="4"/>
        <v>6.7794421487603316</v>
      </c>
      <c r="K12" s="28">
        <f t="shared" ref="K12:K65" si="10">$B12</f>
        <v>700</v>
      </c>
      <c r="L12" s="33">
        <f>$B12/$N6</f>
        <v>700</v>
      </c>
      <c r="M12" s="29">
        <f>(($B12/$N6)*$N5*60)/(12*5280)</f>
        <v>9.9431818181818183</v>
      </c>
      <c r="N12" s="197">
        <f t="shared" si="5"/>
        <v>8.9488636363636367</v>
      </c>
      <c r="O12" s="29">
        <f t="shared" si="6"/>
        <v>7.954545454545455</v>
      </c>
      <c r="P12" s="29">
        <f t="shared" si="7"/>
        <v>6.9602272727272734</v>
      </c>
      <c r="Q12" s="29">
        <f t="shared" si="8"/>
        <v>5.9659090909090908</v>
      </c>
      <c r="R12" s="29">
        <f t="shared" si="9"/>
        <v>5.9659090909090908</v>
      </c>
    </row>
    <row r="13" spans="2:19">
      <c r="B13" s="28">
        <v>800</v>
      </c>
      <c r="C13" s="33">
        <f>$B13/$E6</f>
        <v>909.09090909090912</v>
      </c>
      <c r="D13" s="29">
        <f>(($B13/$E6)*$E5*60)/(12*5280)</f>
        <v>12.913223140495866</v>
      </c>
      <c r="E13" s="197">
        <f t="shared" si="0"/>
        <v>11.621900826446279</v>
      </c>
      <c r="F13" s="29">
        <f t="shared" si="1"/>
        <v>10.330578512396693</v>
      </c>
      <c r="G13" s="29">
        <f t="shared" si="2"/>
        <v>9.0392561983471058</v>
      </c>
      <c r="H13" s="29">
        <f t="shared" si="3"/>
        <v>7.7479338842975203</v>
      </c>
      <c r="I13" s="29">
        <f t="shared" si="4"/>
        <v>7.7479338842975203</v>
      </c>
      <c r="K13" s="28">
        <f t="shared" si="10"/>
        <v>800</v>
      </c>
      <c r="L13" s="33">
        <f>$B13/$N6</f>
        <v>800</v>
      </c>
      <c r="M13" s="29">
        <f>(($B13/$N6)*$N5*60)/(12*5280)</f>
        <v>11.363636363636363</v>
      </c>
      <c r="N13" s="197">
        <f t="shared" si="5"/>
        <v>10.227272727272727</v>
      </c>
      <c r="O13" s="29">
        <f t="shared" si="6"/>
        <v>9.0909090909090899</v>
      </c>
      <c r="P13" s="29">
        <f t="shared" si="7"/>
        <v>7.954545454545455</v>
      </c>
      <c r="Q13" s="29">
        <f t="shared" si="8"/>
        <v>6.8181818181818183</v>
      </c>
      <c r="R13" s="29">
        <f t="shared" si="9"/>
        <v>6.8181818181818183</v>
      </c>
    </row>
    <row r="14" spans="2:19">
      <c r="B14" s="28">
        <v>900</v>
      </c>
      <c r="C14" s="33">
        <f>$B14/$E6</f>
        <v>1022.7272727272727</v>
      </c>
      <c r="D14" s="29">
        <f>(($B14/$E6)*$E5*60)/(12*5280)</f>
        <v>14.527376033057852</v>
      </c>
      <c r="E14" s="197">
        <f>D14-(D14*10/100)</f>
        <v>13.074638429752067</v>
      </c>
      <c r="F14" s="29">
        <f>D14-(D14*20/100)</f>
        <v>11.621900826446282</v>
      </c>
      <c r="G14" s="29">
        <f>D14-(D14*30/100)</f>
        <v>10.169163223140497</v>
      </c>
      <c r="H14" s="29">
        <f>D14-(D14*40/100)</f>
        <v>8.7164256198347125</v>
      </c>
      <c r="I14" s="29">
        <f>D14-(D14*40/100)</f>
        <v>8.7164256198347125</v>
      </c>
      <c r="K14" s="28">
        <f t="shared" si="10"/>
        <v>900</v>
      </c>
      <c r="L14" s="33">
        <f>$B14/$N6</f>
        <v>900</v>
      </c>
      <c r="M14" s="29">
        <f>(($B14/$N6)*$N5*60)/(12*5280)</f>
        <v>12.784090909090908</v>
      </c>
      <c r="N14" s="197">
        <f>M14-(M14*10/100)</f>
        <v>11.505681818181817</v>
      </c>
      <c r="O14" s="29">
        <f>M14-(M14*20/100)</f>
        <v>10.227272727272727</v>
      </c>
      <c r="P14" s="29">
        <f>M14-(M14*30/100)</f>
        <v>8.9488636363636367</v>
      </c>
      <c r="Q14" s="29">
        <f>M14-(M14*40/100)</f>
        <v>7.670454545454545</v>
      </c>
      <c r="R14" s="29">
        <f>M14-(M14*40/100)</f>
        <v>7.670454545454545</v>
      </c>
    </row>
    <row r="15" spans="2:19">
      <c r="B15" s="30">
        <v>1000</v>
      </c>
      <c r="C15" s="33">
        <f>$B15/$E6</f>
        <v>1136.3636363636363</v>
      </c>
      <c r="D15" s="29">
        <f>(($B15/$E6)*$E5*60)/(12*5280)</f>
        <v>16.141528925619834</v>
      </c>
      <c r="E15" s="197">
        <f>D15-(D15*10/100)</f>
        <v>14.52737603305785</v>
      </c>
      <c r="F15" s="31">
        <f>D15-(D15*20/100)</f>
        <v>12.913223140495868</v>
      </c>
      <c r="G15" s="31">
        <f>D15-(D15*30/100)</f>
        <v>11.299070247933884</v>
      </c>
      <c r="H15" s="31">
        <f>D15-(D15*40/100)</f>
        <v>9.6849173553719012</v>
      </c>
      <c r="I15" s="31">
        <f>D15-(D15*40/100)</f>
        <v>9.6849173553719012</v>
      </c>
      <c r="K15" s="30">
        <f t="shared" si="10"/>
        <v>1000</v>
      </c>
      <c r="L15" s="33">
        <f>$B15/$N6</f>
        <v>1000</v>
      </c>
      <c r="M15" s="29">
        <f>(($B15/$N6)*$N5*60)/(12*5280)</f>
        <v>14.204545454545455</v>
      </c>
      <c r="N15" s="197">
        <f>M15-(M15*10/100)</f>
        <v>12.78409090909091</v>
      </c>
      <c r="O15" s="31">
        <f>M15-(M15*20/100)</f>
        <v>11.363636363636363</v>
      </c>
      <c r="P15" s="31">
        <f>M15-(M15*30/100)</f>
        <v>9.9431818181818183</v>
      </c>
      <c r="Q15" s="31">
        <f>M15-(M15*40/100)</f>
        <v>8.5227272727272734</v>
      </c>
      <c r="R15" s="31">
        <f>M15-(M15*40/100)</f>
        <v>8.5227272727272734</v>
      </c>
    </row>
    <row r="16" spans="2:19">
      <c r="B16" s="28">
        <v>1100</v>
      </c>
      <c r="C16" s="33">
        <f>$B16/$E6</f>
        <v>1250</v>
      </c>
      <c r="D16" s="29">
        <f>(($B16/$E6)*$E5*60)/(12*5280)</f>
        <v>17.755681818181817</v>
      </c>
      <c r="E16" s="197">
        <f t="shared" ref="E16:E17" si="11">D16-(D16*10/100)</f>
        <v>15.980113636363635</v>
      </c>
      <c r="F16" s="29">
        <f t="shared" ref="F16:F17" si="12">D16-(D16*20/100)</f>
        <v>14.204545454545453</v>
      </c>
      <c r="G16" s="29">
        <f t="shared" ref="G16:G17" si="13">D16-(D16*30/100)</f>
        <v>12.428977272727272</v>
      </c>
      <c r="H16" s="29">
        <f t="shared" ref="H16:H17" si="14">D16-(D16*40/100)</f>
        <v>10.65340909090909</v>
      </c>
      <c r="I16" s="29">
        <f t="shared" ref="I16:I17" si="15">D16-(D16*40/100)</f>
        <v>10.65340909090909</v>
      </c>
      <c r="K16" s="28">
        <f t="shared" si="10"/>
        <v>1100</v>
      </c>
      <c r="L16" s="33">
        <f>$B16/$N6</f>
        <v>1100</v>
      </c>
      <c r="M16" s="29">
        <f>(($B16/$N6)*$N5*60)/(12*5280)</f>
        <v>15.625</v>
      </c>
      <c r="N16" s="197">
        <f t="shared" ref="N16:N17" si="16">M16-(M16*10/100)</f>
        <v>14.0625</v>
      </c>
      <c r="O16" s="29">
        <f t="shared" ref="O16:O17" si="17">M16-(M16*20/100)</f>
        <v>12.5</v>
      </c>
      <c r="P16" s="29">
        <f t="shared" ref="P16:P17" si="18">M16-(M16*30/100)</f>
        <v>10.9375</v>
      </c>
      <c r="Q16" s="29">
        <f t="shared" ref="Q16:Q17" si="19">M16-(M16*40/100)</f>
        <v>9.375</v>
      </c>
      <c r="R16" s="29">
        <f t="shared" ref="R16:R17" si="20">M16-(M16*40/100)</f>
        <v>9.375</v>
      </c>
    </row>
    <row r="17" spans="2:18">
      <c r="B17" s="28">
        <v>1200</v>
      </c>
      <c r="C17" s="33">
        <f>$B17/$E6</f>
        <v>1363.6363636363637</v>
      </c>
      <c r="D17" s="29">
        <f>(($B17/$E6)*$E5*60)/(12*5280)</f>
        <v>19.369834710743802</v>
      </c>
      <c r="E17" s="197">
        <f t="shared" si="11"/>
        <v>17.432851239669422</v>
      </c>
      <c r="F17" s="29">
        <f t="shared" si="12"/>
        <v>15.495867768595042</v>
      </c>
      <c r="G17" s="29">
        <f t="shared" si="13"/>
        <v>13.558884297520663</v>
      </c>
      <c r="H17" s="29">
        <f t="shared" si="14"/>
        <v>11.621900826446282</v>
      </c>
      <c r="I17" s="29">
        <f t="shared" si="15"/>
        <v>11.621900826446282</v>
      </c>
      <c r="K17" s="28">
        <f t="shared" si="10"/>
        <v>1200</v>
      </c>
      <c r="L17" s="33">
        <f>$B17/$N6</f>
        <v>1200</v>
      </c>
      <c r="M17" s="29">
        <f>(($B17/$N6)*$N5*60)/(12*5280)</f>
        <v>17.045454545454547</v>
      </c>
      <c r="N17" s="197">
        <f t="shared" si="16"/>
        <v>15.340909090909092</v>
      </c>
      <c r="O17" s="29">
        <f t="shared" si="17"/>
        <v>13.636363636363637</v>
      </c>
      <c r="P17" s="29">
        <f t="shared" si="18"/>
        <v>11.931818181818183</v>
      </c>
      <c r="Q17" s="29">
        <f t="shared" si="19"/>
        <v>10.227272727272728</v>
      </c>
      <c r="R17" s="29">
        <f t="shared" si="20"/>
        <v>10.227272727272728</v>
      </c>
    </row>
    <row r="18" spans="2:18">
      <c r="B18" s="28">
        <v>1300</v>
      </c>
      <c r="C18" s="33">
        <f>$B18/$E6</f>
        <v>1477.2727272727273</v>
      </c>
      <c r="D18" s="29">
        <f>(($B18/$E6)*$E5*60)/(12*5280)</f>
        <v>20.983987603305785</v>
      </c>
      <c r="E18" s="197">
        <f>D18-(D18*10/100)</f>
        <v>18.885588842975206</v>
      </c>
      <c r="F18" s="29">
        <f>D18-(D18*20/100)</f>
        <v>16.787190082644628</v>
      </c>
      <c r="G18" s="29">
        <f>D18-(D18*30/100)</f>
        <v>14.688791322314049</v>
      </c>
      <c r="H18" s="29">
        <f>D18-(D18*40/100)</f>
        <v>12.590392561983471</v>
      </c>
      <c r="I18" s="29">
        <f>D18-(D18*40/100)</f>
        <v>12.590392561983471</v>
      </c>
      <c r="K18" s="28">
        <f t="shared" si="10"/>
        <v>1300</v>
      </c>
      <c r="L18" s="33">
        <f>$B18/$N6</f>
        <v>1300</v>
      </c>
      <c r="M18" s="29">
        <f>(($B18/$N6)*$N5*60)/(12*5280)</f>
        <v>18.46590909090909</v>
      </c>
      <c r="N18" s="197">
        <f>M18-(M18*10/100)</f>
        <v>16.61931818181818</v>
      </c>
      <c r="O18" s="29">
        <f>M18-(M18*20/100)</f>
        <v>14.772727272727272</v>
      </c>
      <c r="P18" s="29">
        <f>M18-(M18*30/100)</f>
        <v>12.926136363636363</v>
      </c>
      <c r="Q18" s="29">
        <f>M18-(M18*40/100)</f>
        <v>11.079545454545453</v>
      </c>
      <c r="R18" s="29">
        <f>M18-(M18*40/100)</f>
        <v>11.079545454545453</v>
      </c>
    </row>
    <row r="19" spans="2:18">
      <c r="B19" s="28">
        <v>1400</v>
      </c>
      <c r="C19" s="33">
        <f>$B19/$E6</f>
        <v>1590.909090909091</v>
      </c>
      <c r="D19" s="29">
        <f>(($B19/$E6)*$E5*60)/(12*5280)</f>
        <v>22.598140495867771</v>
      </c>
      <c r="E19" s="197">
        <f t="shared" ref="E19:E22" si="21">D19-(D19*10/100)</f>
        <v>20.338326446280995</v>
      </c>
      <c r="F19" s="29">
        <f t="shared" ref="F19:F22" si="22">D19-(D19*20/100)</f>
        <v>18.078512396694215</v>
      </c>
      <c r="G19" s="29">
        <f t="shared" ref="G19:G22" si="23">D19-(D19*30/100)</f>
        <v>15.818698347107439</v>
      </c>
      <c r="H19" s="29">
        <f t="shared" ref="H19:H22" si="24">D19-(D19*40/100)</f>
        <v>13.558884297520663</v>
      </c>
      <c r="I19" s="29">
        <f t="shared" ref="I19:I22" si="25">D19-(D19*40/100)</f>
        <v>13.558884297520663</v>
      </c>
      <c r="K19" s="28">
        <f t="shared" si="10"/>
        <v>1400</v>
      </c>
      <c r="L19" s="33">
        <f>$B19/$N6</f>
        <v>1400</v>
      </c>
      <c r="M19" s="29">
        <f>(($B19/$N6)*$N5*60)/(12*5280)</f>
        <v>19.886363636363637</v>
      </c>
      <c r="N19" s="197">
        <f t="shared" ref="N19:N22" si="26">M19-(M19*10/100)</f>
        <v>17.897727272727273</v>
      </c>
      <c r="O19" s="29">
        <f t="shared" ref="O19:O22" si="27">M19-(M19*20/100)</f>
        <v>15.90909090909091</v>
      </c>
      <c r="P19" s="29">
        <f t="shared" ref="P19:P22" si="28">M19-(M19*30/100)</f>
        <v>13.920454545454547</v>
      </c>
      <c r="Q19" s="29">
        <f t="shared" ref="Q19:Q22" si="29">M19-(M19*40/100)</f>
        <v>11.931818181818182</v>
      </c>
      <c r="R19" s="29">
        <f t="shared" ref="R19:R22" si="30">M19-(M19*40/100)</f>
        <v>11.931818181818182</v>
      </c>
    </row>
    <row r="20" spans="2:18">
      <c r="B20" s="30">
        <v>1500</v>
      </c>
      <c r="C20" s="33">
        <f>$B20/$E6</f>
        <v>1704.5454545454545</v>
      </c>
      <c r="D20" s="29">
        <f>(($B20/$E6)*$E5*60)/(12*5280)</f>
        <v>24.21229338842975</v>
      </c>
      <c r="E20" s="197">
        <f t="shared" si="21"/>
        <v>21.791064049586776</v>
      </c>
      <c r="F20" s="31">
        <f t="shared" si="22"/>
        <v>19.369834710743799</v>
      </c>
      <c r="G20" s="31">
        <f t="shared" si="23"/>
        <v>16.948605371900825</v>
      </c>
      <c r="H20" s="31">
        <f t="shared" si="24"/>
        <v>14.52737603305785</v>
      </c>
      <c r="I20" s="31">
        <f t="shared" si="25"/>
        <v>14.52737603305785</v>
      </c>
      <c r="K20" s="30">
        <f t="shared" si="10"/>
        <v>1500</v>
      </c>
      <c r="L20" s="33">
        <f>$B20/$N6</f>
        <v>1500</v>
      </c>
      <c r="M20" s="29">
        <f>(($B20/$N6)*$N5*60)/(12*5280)</f>
        <v>21.306818181818183</v>
      </c>
      <c r="N20" s="197">
        <f t="shared" si="26"/>
        <v>19.176136363636367</v>
      </c>
      <c r="O20" s="31">
        <f t="shared" si="27"/>
        <v>17.045454545454547</v>
      </c>
      <c r="P20" s="31">
        <f t="shared" si="28"/>
        <v>14.914772727272728</v>
      </c>
      <c r="Q20" s="31">
        <f t="shared" si="29"/>
        <v>12.78409090909091</v>
      </c>
      <c r="R20" s="31">
        <f t="shared" si="30"/>
        <v>12.78409090909091</v>
      </c>
    </row>
    <row r="21" spans="2:18">
      <c r="B21" s="28">
        <v>1600</v>
      </c>
      <c r="C21" s="33">
        <f>$B21/$E6</f>
        <v>1818.1818181818182</v>
      </c>
      <c r="D21" s="29">
        <f>(($B21/$E6)*$E5*60)/(12*5280)</f>
        <v>25.826446280991732</v>
      </c>
      <c r="E21" s="197">
        <f t="shared" si="21"/>
        <v>23.243801652892557</v>
      </c>
      <c r="F21" s="29">
        <f t="shared" si="22"/>
        <v>20.661157024793386</v>
      </c>
      <c r="G21" s="29">
        <f t="shared" si="23"/>
        <v>18.078512396694212</v>
      </c>
      <c r="H21" s="29">
        <f t="shared" si="24"/>
        <v>15.495867768595041</v>
      </c>
      <c r="I21" s="29">
        <f t="shared" si="25"/>
        <v>15.495867768595041</v>
      </c>
      <c r="K21" s="28">
        <f t="shared" si="10"/>
        <v>1600</v>
      </c>
      <c r="L21" s="33">
        <f>$B21/$N6</f>
        <v>1600</v>
      </c>
      <c r="M21" s="29">
        <f>(($B21/$N6)*$N5*60)/(12*5280)</f>
        <v>22.727272727272727</v>
      </c>
      <c r="N21" s="197">
        <f t="shared" si="26"/>
        <v>20.454545454545453</v>
      </c>
      <c r="O21" s="29">
        <f t="shared" si="27"/>
        <v>18.18181818181818</v>
      </c>
      <c r="P21" s="29">
        <f t="shared" si="28"/>
        <v>15.90909090909091</v>
      </c>
      <c r="Q21" s="29">
        <f t="shared" si="29"/>
        <v>13.636363636363637</v>
      </c>
      <c r="R21" s="29">
        <f t="shared" si="30"/>
        <v>13.636363636363637</v>
      </c>
    </row>
    <row r="22" spans="2:18">
      <c r="B22" s="28">
        <v>1700</v>
      </c>
      <c r="C22" s="33">
        <f>$B22/$E6</f>
        <v>1931.8181818181818</v>
      </c>
      <c r="D22" s="29">
        <f>(($B22/$E6)*$E5*60)/(12*5280)</f>
        <v>27.440599173553721</v>
      </c>
      <c r="E22" s="197">
        <f t="shared" si="21"/>
        <v>24.696539256198349</v>
      </c>
      <c r="F22" s="29">
        <f t="shared" si="22"/>
        <v>21.952479338842977</v>
      </c>
      <c r="G22" s="29">
        <f t="shared" si="23"/>
        <v>19.208419421487605</v>
      </c>
      <c r="H22" s="29">
        <f t="shared" si="24"/>
        <v>16.464359504132233</v>
      </c>
      <c r="I22" s="29">
        <f t="shared" si="25"/>
        <v>16.464359504132233</v>
      </c>
      <c r="K22" s="28">
        <f t="shared" si="10"/>
        <v>1700</v>
      </c>
      <c r="L22" s="33">
        <f>$B22/$N6</f>
        <v>1700</v>
      </c>
      <c r="M22" s="29">
        <f>(($B22/$N6)*$N5*60)/(12*5280)</f>
        <v>24.147727272727273</v>
      </c>
      <c r="N22" s="197">
        <f t="shared" si="26"/>
        <v>21.732954545454547</v>
      </c>
      <c r="O22" s="29">
        <f t="shared" si="27"/>
        <v>19.31818181818182</v>
      </c>
      <c r="P22" s="29">
        <f t="shared" si="28"/>
        <v>16.90340909090909</v>
      </c>
      <c r="Q22" s="29">
        <f t="shared" si="29"/>
        <v>14.488636363636363</v>
      </c>
      <c r="R22" s="29">
        <f t="shared" si="30"/>
        <v>14.488636363636363</v>
      </c>
    </row>
    <row r="23" spans="2:18">
      <c r="B23" s="28">
        <v>1800</v>
      </c>
      <c r="C23" s="33">
        <f>$B23/$E6</f>
        <v>2045.4545454545455</v>
      </c>
      <c r="D23" s="29">
        <f>(($B23/$E6)*$E5*60)/(12*5280)</f>
        <v>29.054752066115704</v>
      </c>
      <c r="E23" s="197">
        <f>D23-(D23*10/100)</f>
        <v>26.149276859504134</v>
      </c>
      <c r="F23" s="29">
        <f>D23-(D23*20/100)</f>
        <v>23.243801652892564</v>
      </c>
      <c r="G23" s="29">
        <f>D23-(D23*30/100)</f>
        <v>20.338326446280995</v>
      </c>
      <c r="H23" s="29">
        <f>D23-(D23*40/100)</f>
        <v>17.432851239669425</v>
      </c>
      <c r="I23" s="29">
        <f>D23-(D23*40/100)</f>
        <v>17.432851239669425</v>
      </c>
      <c r="K23" s="28">
        <f t="shared" si="10"/>
        <v>1800</v>
      </c>
      <c r="L23" s="33">
        <f>$B23/$N6</f>
        <v>1800</v>
      </c>
      <c r="M23" s="29">
        <f>(($B23/$N6)*$N5*60)/(12*5280)</f>
        <v>25.568181818181817</v>
      </c>
      <c r="N23" s="197">
        <f>M23-(M23*10/100)</f>
        <v>23.011363636363633</v>
      </c>
      <c r="O23" s="29">
        <f>M23-(M23*20/100)</f>
        <v>20.454545454545453</v>
      </c>
      <c r="P23" s="29">
        <f>M23-(M23*30/100)</f>
        <v>17.897727272727273</v>
      </c>
      <c r="Q23" s="29">
        <f>M23-(M23*40/100)</f>
        <v>15.34090909090909</v>
      </c>
      <c r="R23" s="29">
        <f>M23-(M23*40/100)</f>
        <v>15.34090909090909</v>
      </c>
    </row>
    <row r="24" spans="2:18">
      <c r="B24" s="28">
        <v>1900</v>
      </c>
      <c r="C24" s="33">
        <f>$B24/E6</f>
        <v>2159.090909090909</v>
      </c>
      <c r="D24" s="29">
        <f>(($B24/$E6)*$E5*60)/(12*5280)</f>
        <v>30.668904958677686</v>
      </c>
      <c r="E24" s="197">
        <f>D24-(D24*10/100)</f>
        <v>27.602014462809919</v>
      </c>
      <c r="F24" s="29">
        <f>D24-(D24*20/100)</f>
        <v>24.535123966942148</v>
      </c>
      <c r="G24" s="29">
        <f>D24-(D24*30/100)</f>
        <v>21.468233471074377</v>
      </c>
      <c r="H24" s="29">
        <f>D24-(D24*40/100)</f>
        <v>18.40134297520661</v>
      </c>
      <c r="I24" s="29">
        <f>D24-(D24*40/100)</f>
        <v>18.40134297520661</v>
      </c>
      <c r="K24" s="28">
        <f t="shared" si="10"/>
        <v>1900</v>
      </c>
      <c r="L24" s="33">
        <f>$B24/$N6</f>
        <v>1900</v>
      </c>
      <c r="M24" s="29">
        <f>(($B24/$N6)*$N5*60)/(12*5280)</f>
        <v>26.988636363636363</v>
      </c>
      <c r="N24" s="197">
        <f>M24-(M24*10/100)</f>
        <v>24.289772727272727</v>
      </c>
      <c r="O24" s="29">
        <f>M24-(M24*20/100)</f>
        <v>21.59090909090909</v>
      </c>
      <c r="P24" s="29">
        <f>M24-(M24*30/100)</f>
        <v>18.892045454545453</v>
      </c>
      <c r="Q24" s="29">
        <f>M24-(M24*40/100)</f>
        <v>16.19318181818182</v>
      </c>
      <c r="R24" s="29">
        <f>M24-(M24*40/100)</f>
        <v>16.19318181818182</v>
      </c>
    </row>
    <row r="25" spans="2:18">
      <c r="B25" s="30">
        <v>2000</v>
      </c>
      <c r="C25" s="33">
        <f>$B25/$E6</f>
        <v>2272.7272727272725</v>
      </c>
      <c r="D25" s="29">
        <f>(($B25/$E6)*$E5*60)/(12*5280)</f>
        <v>32.283057851239668</v>
      </c>
      <c r="E25" s="197">
        <f t="shared" ref="E25:E28" si="31">D25-(D25*10/100)</f>
        <v>29.0547520661157</v>
      </c>
      <c r="F25" s="31">
        <f t="shared" ref="F25:F28" si="32">D25-(D25*20/100)</f>
        <v>25.826446280991735</v>
      </c>
      <c r="G25" s="31">
        <f t="shared" ref="G25:G28" si="33">D25-(D25*30/100)</f>
        <v>22.598140495867767</v>
      </c>
      <c r="H25" s="31">
        <f t="shared" ref="H25:H28" si="34">D25-(D25*40/100)</f>
        <v>19.369834710743802</v>
      </c>
      <c r="I25" s="31">
        <f t="shared" ref="I25:I28" si="35">D25-(D25*40/100)</f>
        <v>19.369834710743802</v>
      </c>
      <c r="K25" s="30">
        <f t="shared" si="10"/>
        <v>2000</v>
      </c>
      <c r="L25" s="33">
        <f>$B25/$N6</f>
        <v>2000</v>
      </c>
      <c r="M25" s="29">
        <f>(($B25/$N6)*$N5*60)/(12*5280)</f>
        <v>28.40909090909091</v>
      </c>
      <c r="N25" s="197">
        <f t="shared" ref="N25:N28" si="36">M25-(M25*10/100)</f>
        <v>25.56818181818182</v>
      </c>
      <c r="O25" s="31">
        <f t="shared" ref="O25:O28" si="37">M25-(M25*20/100)</f>
        <v>22.727272727272727</v>
      </c>
      <c r="P25" s="31">
        <f t="shared" ref="P25:P28" si="38">M25-(M25*30/100)</f>
        <v>19.886363636363637</v>
      </c>
      <c r="Q25" s="31">
        <f t="shared" ref="Q25:Q28" si="39">M25-(M25*40/100)</f>
        <v>17.045454545454547</v>
      </c>
      <c r="R25" s="31">
        <f t="shared" ref="R25:R28" si="40">M25-(M25*40/100)</f>
        <v>17.045454545454547</v>
      </c>
    </row>
    <row r="26" spans="2:18">
      <c r="B26" s="28">
        <v>2100</v>
      </c>
      <c r="C26" s="33">
        <f>$B26/$E6</f>
        <v>2386.3636363636365</v>
      </c>
      <c r="D26" s="29">
        <f>(($B26/$E6)*$E5*60)/(12*5280)</f>
        <v>33.897210743801651</v>
      </c>
      <c r="E26" s="197">
        <f t="shared" si="31"/>
        <v>30.507489669421485</v>
      </c>
      <c r="F26" s="29">
        <f t="shared" si="32"/>
        <v>27.117768595041319</v>
      </c>
      <c r="G26" s="29">
        <f t="shared" si="33"/>
        <v>23.728047520661157</v>
      </c>
      <c r="H26" s="29">
        <f t="shared" si="34"/>
        <v>20.338326446280991</v>
      </c>
      <c r="I26" s="29">
        <f t="shared" si="35"/>
        <v>20.338326446280991</v>
      </c>
      <c r="K26" s="28">
        <f t="shared" si="10"/>
        <v>2100</v>
      </c>
      <c r="L26" s="33">
        <f>$B26/$N6</f>
        <v>2100</v>
      </c>
      <c r="M26" s="29">
        <f>(($B26/$N6)*$N5*60)/(12*5280)</f>
        <v>29.829545454545453</v>
      </c>
      <c r="N26" s="197">
        <f t="shared" si="36"/>
        <v>26.846590909090907</v>
      </c>
      <c r="O26" s="29">
        <f t="shared" si="37"/>
        <v>23.863636363636363</v>
      </c>
      <c r="P26" s="29">
        <f t="shared" si="38"/>
        <v>20.880681818181817</v>
      </c>
      <c r="Q26" s="29">
        <f t="shared" si="39"/>
        <v>17.897727272727273</v>
      </c>
      <c r="R26" s="29">
        <f t="shared" si="40"/>
        <v>17.897727272727273</v>
      </c>
    </row>
    <row r="27" spans="2:18">
      <c r="B27" s="28">
        <v>2200</v>
      </c>
      <c r="C27" s="33">
        <f>$B27/$E6</f>
        <v>2500</v>
      </c>
      <c r="D27" s="29">
        <f>(($B27/$E6)*$E5*60)/(12*5280)</f>
        <v>35.511363636363633</v>
      </c>
      <c r="E27" s="197">
        <f t="shared" si="31"/>
        <v>31.96022727272727</v>
      </c>
      <c r="F27" s="29">
        <f t="shared" si="32"/>
        <v>28.409090909090907</v>
      </c>
      <c r="G27" s="29">
        <f t="shared" si="33"/>
        <v>24.857954545454543</v>
      </c>
      <c r="H27" s="29">
        <f t="shared" si="34"/>
        <v>21.30681818181818</v>
      </c>
      <c r="I27" s="29">
        <f t="shared" si="35"/>
        <v>21.30681818181818</v>
      </c>
      <c r="K27" s="28">
        <f t="shared" si="10"/>
        <v>2200</v>
      </c>
      <c r="L27" s="33">
        <f>$B27/$N6</f>
        <v>2200</v>
      </c>
      <c r="M27" s="29">
        <f>(($B27/$N6)*$N5*60)/(12*5280)</f>
        <v>31.25</v>
      </c>
      <c r="N27" s="197">
        <f t="shared" si="36"/>
        <v>28.125</v>
      </c>
      <c r="O27" s="29">
        <f t="shared" si="37"/>
        <v>25</v>
      </c>
      <c r="P27" s="29">
        <f t="shared" si="38"/>
        <v>21.875</v>
      </c>
      <c r="Q27" s="29">
        <f t="shared" si="39"/>
        <v>18.75</v>
      </c>
      <c r="R27" s="29">
        <f t="shared" si="40"/>
        <v>18.75</v>
      </c>
    </row>
    <row r="28" spans="2:18">
      <c r="B28" s="28">
        <v>2300</v>
      </c>
      <c r="C28" s="33">
        <f>$B28/$E6</f>
        <v>2613.6363636363635</v>
      </c>
      <c r="D28" s="29">
        <f>(($B28/$E6)*$E5*60)/(12*5280)</f>
        <v>37.125516528925623</v>
      </c>
      <c r="E28" s="197">
        <f t="shared" si="31"/>
        <v>33.412964876033058</v>
      </c>
      <c r="F28" s="29">
        <f t="shared" si="32"/>
        <v>29.700413223140497</v>
      </c>
      <c r="G28" s="29">
        <f t="shared" si="33"/>
        <v>25.987861570247937</v>
      </c>
      <c r="H28" s="29">
        <f t="shared" si="34"/>
        <v>22.275309917355372</v>
      </c>
      <c r="I28" s="29">
        <f t="shared" si="35"/>
        <v>22.275309917355372</v>
      </c>
      <c r="K28" s="28">
        <f t="shared" si="10"/>
        <v>2300</v>
      </c>
      <c r="L28" s="33">
        <f>$B28/$N6</f>
        <v>2300</v>
      </c>
      <c r="M28" s="29">
        <f>(($B28/$N6)*$N5*60)/(12*5280)</f>
        <v>32.670454545454547</v>
      </c>
      <c r="N28" s="197">
        <f t="shared" si="36"/>
        <v>29.403409090909093</v>
      </c>
      <c r="O28" s="29">
        <f t="shared" si="37"/>
        <v>26.136363636363637</v>
      </c>
      <c r="P28" s="29">
        <f t="shared" si="38"/>
        <v>22.869318181818183</v>
      </c>
      <c r="Q28" s="29">
        <f t="shared" si="39"/>
        <v>19.602272727272727</v>
      </c>
      <c r="R28" s="29">
        <f t="shared" si="40"/>
        <v>19.602272727272727</v>
      </c>
    </row>
    <row r="29" spans="2:18">
      <c r="B29" s="28">
        <v>2400</v>
      </c>
      <c r="C29" s="33">
        <f>$B29/$E6</f>
        <v>2727.2727272727275</v>
      </c>
      <c r="D29" s="29">
        <f>(($B29/$E6)*$E5*60)/(12*5280)</f>
        <v>38.739669421487605</v>
      </c>
      <c r="E29" s="197">
        <f>D29-(D29*10/100)</f>
        <v>34.865702479338843</v>
      </c>
      <c r="F29" s="29">
        <f>D29-(D29*20/100)</f>
        <v>30.991735537190085</v>
      </c>
      <c r="G29" s="29">
        <f>D29-(D29*30/100)</f>
        <v>27.117768595041326</v>
      </c>
      <c r="H29" s="29">
        <f>D29-(D29*40/100)</f>
        <v>23.243801652892564</v>
      </c>
      <c r="I29" s="29">
        <f>D29-(D29*40/100)</f>
        <v>23.243801652892564</v>
      </c>
      <c r="K29" s="28">
        <f t="shared" si="10"/>
        <v>2400</v>
      </c>
      <c r="L29" s="33">
        <f>$B29/$N6</f>
        <v>2400</v>
      </c>
      <c r="M29" s="29">
        <f>(($B29/$N6)*$N5*60)/(12*5280)</f>
        <v>34.090909090909093</v>
      </c>
      <c r="N29" s="197">
        <f>M29-(M29*10/100)</f>
        <v>30.681818181818183</v>
      </c>
      <c r="O29" s="29">
        <f>M29-(M29*20/100)</f>
        <v>27.272727272727273</v>
      </c>
      <c r="P29" s="29">
        <f>M29-(M29*30/100)</f>
        <v>23.863636363636367</v>
      </c>
      <c r="Q29" s="29">
        <f>M29-(M29*40/100)</f>
        <v>20.454545454545457</v>
      </c>
      <c r="R29" s="29">
        <f>M29-(M29*40/100)</f>
        <v>20.454545454545457</v>
      </c>
    </row>
    <row r="30" spans="2:18">
      <c r="B30" s="30">
        <v>2500</v>
      </c>
      <c r="C30" s="33">
        <f>$B30/$E6</f>
        <v>2840.909090909091</v>
      </c>
      <c r="D30" s="29">
        <f>(($B30/$E6)*$E5*60)/(12*5280)</f>
        <v>40.353822314049594</v>
      </c>
      <c r="E30" s="197">
        <f>D30-(D30*10/100)</f>
        <v>36.318440082644635</v>
      </c>
      <c r="F30" s="31">
        <f>D30-(D30*20/100)</f>
        <v>32.283057851239676</v>
      </c>
      <c r="G30" s="31">
        <f>D30-(D30*30/100)</f>
        <v>28.247675619834716</v>
      </c>
      <c r="H30" s="31">
        <f>D30-(D30*40/100)</f>
        <v>24.212293388429757</v>
      </c>
      <c r="I30" s="31">
        <f>D30-(D30*40/100)</f>
        <v>24.212293388429757</v>
      </c>
      <c r="K30" s="30">
        <f t="shared" si="10"/>
        <v>2500</v>
      </c>
      <c r="L30" s="33">
        <f>$B30/$N6</f>
        <v>2500</v>
      </c>
      <c r="M30" s="29">
        <f>(($B30/$N6)*$N5*60)/(12*5280)</f>
        <v>35.511363636363633</v>
      </c>
      <c r="N30" s="197">
        <f>M30-(M30*10/100)</f>
        <v>31.96022727272727</v>
      </c>
      <c r="O30" s="31">
        <f>M30-(M30*20/100)</f>
        <v>28.409090909090907</v>
      </c>
      <c r="P30" s="31">
        <f>M30-(M30*30/100)</f>
        <v>24.857954545454543</v>
      </c>
      <c r="Q30" s="31">
        <f>M30-(M30*40/100)</f>
        <v>21.30681818181818</v>
      </c>
      <c r="R30" s="31">
        <f>M30-(M30*40/100)</f>
        <v>21.30681818181818</v>
      </c>
    </row>
    <row r="31" spans="2:18">
      <c r="B31" s="28">
        <v>2600</v>
      </c>
      <c r="C31" s="33">
        <f>$B31/$E6</f>
        <v>2954.5454545454545</v>
      </c>
      <c r="D31" s="29">
        <f>(($B31/$E6)*$E5*60)/(12*5280)</f>
        <v>41.96797520661157</v>
      </c>
      <c r="E31" s="197">
        <f t="shared" ref="E31:E34" si="41">D31-(D31*10/100)</f>
        <v>37.771177685950413</v>
      </c>
      <c r="F31" s="29">
        <f t="shared" ref="F31:F34" si="42">D31-(D31*20/100)</f>
        <v>33.574380165289256</v>
      </c>
      <c r="G31" s="29">
        <f t="shared" ref="G31:G34" si="43">D31-(D31*30/100)</f>
        <v>29.377582644628099</v>
      </c>
      <c r="H31" s="29">
        <f t="shared" ref="H31:H34" si="44">D31-(D31*40/100)</f>
        <v>25.180785123966942</v>
      </c>
      <c r="I31" s="29">
        <f t="shared" ref="I31:I34" si="45">D31-(D31*40/100)</f>
        <v>25.180785123966942</v>
      </c>
      <c r="K31" s="28">
        <f t="shared" si="10"/>
        <v>2600</v>
      </c>
      <c r="L31" s="33">
        <f>$B31/$N6</f>
        <v>2600</v>
      </c>
      <c r="M31" s="29">
        <f>(($B31/$N6)*$N5*60)/(12*5280)</f>
        <v>36.93181818181818</v>
      </c>
      <c r="N31" s="197">
        <f t="shared" ref="N31:N34" si="46">M31-(M31*10/100)</f>
        <v>33.23863636363636</v>
      </c>
      <c r="O31" s="29">
        <f t="shared" ref="O31:O34" si="47">M31-(M31*20/100)</f>
        <v>29.545454545454543</v>
      </c>
      <c r="P31" s="29">
        <f t="shared" ref="P31:P34" si="48">M31-(M31*30/100)</f>
        <v>25.852272727272727</v>
      </c>
      <c r="Q31" s="29">
        <f t="shared" ref="Q31:Q34" si="49">M31-(M31*40/100)</f>
        <v>22.159090909090907</v>
      </c>
      <c r="R31" s="29">
        <f t="shared" ref="R31:R34" si="50">M31-(M31*40/100)</f>
        <v>22.159090909090907</v>
      </c>
    </row>
    <row r="32" spans="2:18">
      <c r="B32" s="28">
        <v>2700</v>
      </c>
      <c r="C32" s="33">
        <f>$B32/$E6</f>
        <v>3068.181818181818</v>
      </c>
      <c r="D32" s="29">
        <f>(($B32/$E6)*$E5*60)/(12*5280)</f>
        <v>43.582128099173552</v>
      </c>
      <c r="E32" s="197">
        <f t="shared" si="41"/>
        <v>39.223915289256198</v>
      </c>
      <c r="F32" s="29">
        <f t="shared" si="42"/>
        <v>34.865702479338843</v>
      </c>
      <c r="G32" s="29">
        <f t="shared" si="43"/>
        <v>30.507489669421489</v>
      </c>
      <c r="H32" s="29">
        <f t="shared" si="44"/>
        <v>26.14927685950413</v>
      </c>
      <c r="I32" s="29">
        <f t="shared" si="45"/>
        <v>26.14927685950413</v>
      </c>
      <c r="K32" s="28">
        <f t="shared" si="10"/>
        <v>2700</v>
      </c>
      <c r="L32" s="33">
        <f>$B32/$N6</f>
        <v>2700</v>
      </c>
      <c r="M32" s="29">
        <f>(($B32/$N6)*$N5*60)/(12*5280)</f>
        <v>38.352272727272727</v>
      </c>
      <c r="N32" s="197">
        <f t="shared" si="46"/>
        <v>34.517045454545453</v>
      </c>
      <c r="O32" s="29">
        <f t="shared" si="47"/>
        <v>30.68181818181818</v>
      </c>
      <c r="P32" s="29">
        <f t="shared" si="48"/>
        <v>26.846590909090907</v>
      </c>
      <c r="Q32" s="29">
        <f t="shared" si="49"/>
        <v>23.011363636363637</v>
      </c>
      <c r="R32" s="29">
        <f t="shared" si="50"/>
        <v>23.011363636363637</v>
      </c>
    </row>
    <row r="33" spans="2:18">
      <c r="B33" s="28">
        <v>2800</v>
      </c>
      <c r="C33" s="33">
        <f>$B33/$E6</f>
        <v>3181.818181818182</v>
      </c>
      <c r="D33" s="29">
        <f>(($B33/$E6)*$E5*60)/(12*5280)</f>
        <v>45.196280991735541</v>
      </c>
      <c r="E33" s="197">
        <f t="shared" si="41"/>
        <v>40.676652892561989</v>
      </c>
      <c r="F33" s="29">
        <f t="shared" si="42"/>
        <v>36.15702479338843</v>
      </c>
      <c r="G33" s="29">
        <f t="shared" si="43"/>
        <v>31.637396694214878</v>
      </c>
      <c r="H33" s="29">
        <f t="shared" si="44"/>
        <v>27.117768595041326</v>
      </c>
      <c r="I33" s="29">
        <f t="shared" si="45"/>
        <v>27.117768595041326</v>
      </c>
      <c r="K33" s="28">
        <f t="shared" si="10"/>
        <v>2800</v>
      </c>
      <c r="L33" s="33">
        <f>$B33/$N6</f>
        <v>2800</v>
      </c>
      <c r="M33" s="29">
        <f>(($B33/$N6)*$N5*60)/(12*5280)</f>
        <v>39.772727272727273</v>
      </c>
      <c r="N33" s="197">
        <f t="shared" si="46"/>
        <v>35.795454545454547</v>
      </c>
      <c r="O33" s="29">
        <f t="shared" si="47"/>
        <v>31.81818181818182</v>
      </c>
      <c r="P33" s="29">
        <f t="shared" si="48"/>
        <v>27.840909090909093</v>
      </c>
      <c r="Q33" s="29">
        <f t="shared" si="49"/>
        <v>23.863636363636363</v>
      </c>
      <c r="R33" s="29">
        <f t="shared" si="50"/>
        <v>23.863636363636363</v>
      </c>
    </row>
    <row r="34" spans="2:18">
      <c r="B34" s="28">
        <v>2900</v>
      </c>
      <c r="C34" s="33">
        <f>$B34/$E6</f>
        <v>3295.4545454545455</v>
      </c>
      <c r="D34" s="29">
        <f>(($B34/$E6)*$E5*60)/(12*5280)</f>
        <v>46.810433884297517</v>
      </c>
      <c r="E34" s="197">
        <f t="shared" si="41"/>
        <v>42.129390495867767</v>
      </c>
      <c r="F34" s="29">
        <f t="shared" si="42"/>
        <v>37.448347107438011</v>
      </c>
      <c r="G34" s="29">
        <f t="shared" si="43"/>
        <v>32.767303719008261</v>
      </c>
      <c r="H34" s="29">
        <f t="shared" si="44"/>
        <v>28.086260330578511</v>
      </c>
      <c r="I34" s="29">
        <f t="shared" si="45"/>
        <v>28.086260330578511</v>
      </c>
      <c r="K34" s="28">
        <f t="shared" si="10"/>
        <v>2900</v>
      </c>
      <c r="L34" s="33">
        <f>$B34/$N6</f>
        <v>2900</v>
      </c>
      <c r="M34" s="29">
        <f>(($B34/$N6)*$N5*60)/(12*5280)</f>
        <v>41.19318181818182</v>
      </c>
      <c r="N34" s="197">
        <f t="shared" si="46"/>
        <v>37.07386363636364</v>
      </c>
      <c r="O34" s="29">
        <f t="shared" si="47"/>
        <v>32.954545454545453</v>
      </c>
      <c r="P34" s="29">
        <f t="shared" si="48"/>
        <v>28.835227272727273</v>
      </c>
      <c r="Q34" s="29">
        <f t="shared" si="49"/>
        <v>24.715909090909093</v>
      </c>
      <c r="R34" s="29">
        <f t="shared" si="50"/>
        <v>24.715909090909093</v>
      </c>
    </row>
    <row r="35" spans="2:18">
      <c r="B35" s="30">
        <v>3000</v>
      </c>
      <c r="C35" s="33">
        <f>$B35/$E6</f>
        <v>3409.090909090909</v>
      </c>
      <c r="D35" s="29">
        <f>(($B35/$E6)*$E5*60)/(12*5280)</f>
        <v>48.424586776859499</v>
      </c>
      <c r="E35" s="197">
        <f>D35-(D35*10/100)</f>
        <v>43.582128099173552</v>
      </c>
      <c r="F35" s="31">
        <f>D35-(D35*20/100)</f>
        <v>38.739669421487598</v>
      </c>
      <c r="G35" s="31">
        <f>D35-(D35*30/100)</f>
        <v>33.897210743801651</v>
      </c>
      <c r="H35" s="31">
        <f>D35-(D35*40/100)</f>
        <v>29.0547520661157</v>
      </c>
      <c r="I35" s="31">
        <f>D35-(D35*40/100)</f>
        <v>29.0547520661157</v>
      </c>
      <c r="K35" s="30">
        <f t="shared" si="10"/>
        <v>3000</v>
      </c>
      <c r="L35" s="33">
        <f>$B35/$N6</f>
        <v>3000</v>
      </c>
      <c r="M35" s="29">
        <f>(($B35/$N6)*$N5*60)/(12*5280)</f>
        <v>42.613636363636367</v>
      </c>
      <c r="N35" s="197">
        <f>M35-(M35*10/100)</f>
        <v>38.352272727272734</v>
      </c>
      <c r="O35" s="31">
        <f>M35-(M35*20/100)</f>
        <v>34.090909090909093</v>
      </c>
      <c r="P35" s="31">
        <f>M35-(M35*30/100)</f>
        <v>29.829545454545457</v>
      </c>
      <c r="Q35" s="31">
        <f>M35-(M35*40/100)</f>
        <v>25.56818181818182</v>
      </c>
      <c r="R35" s="31">
        <f>M35-(M35*40/100)</f>
        <v>25.56818181818182</v>
      </c>
    </row>
    <row r="36" spans="2:18">
      <c r="B36" s="28">
        <v>3100</v>
      </c>
      <c r="C36" s="33">
        <f>$B36/$E6</f>
        <v>3522.7272727272725</v>
      </c>
      <c r="D36" s="29">
        <f>(($B36/$E6)*$E5*60)/(12*5280)</f>
        <v>50.038739669421489</v>
      </c>
      <c r="E36" s="197">
        <f t="shared" ref="E36:E65" si="51">D36-(D36*10/100)</f>
        <v>45.034865702479337</v>
      </c>
      <c r="F36" s="29">
        <f t="shared" ref="F36:F65" si="52">D36-(D36*20/100)</f>
        <v>40.030991735537192</v>
      </c>
      <c r="G36" s="29">
        <f t="shared" ref="G36:G65" si="53">D36-(D36*30/100)</f>
        <v>35.027117768595041</v>
      </c>
      <c r="H36" s="29">
        <f t="shared" ref="H36:H65" si="54">D36-(D36*40/100)</f>
        <v>30.023243801652892</v>
      </c>
      <c r="I36" s="29">
        <f t="shared" ref="I36:I65" si="55">D36-(D36*40/100)</f>
        <v>30.023243801652892</v>
      </c>
      <c r="K36" s="28">
        <f t="shared" si="10"/>
        <v>3100</v>
      </c>
      <c r="L36" s="33">
        <f>$B36/$N6</f>
        <v>3100</v>
      </c>
      <c r="M36" s="29">
        <f>(($B36/$N6)*$N5*60)/(12*5280)</f>
        <v>44.034090909090907</v>
      </c>
      <c r="N36" s="197">
        <f t="shared" ref="N36:N65" si="56">M36-(M36*10/100)</f>
        <v>39.630681818181813</v>
      </c>
      <c r="O36" s="29">
        <f t="shared" ref="O36:O65" si="57">M36-(M36*20/100)</f>
        <v>35.227272727272727</v>
      </c>
      <c r="P36" s="29">
        <f t="shared" ref="P36:P65" si="58">M36-(M36*30/100)</f>
        <v>30.823863636363633</v>
      </c>
      <c r="Q36" s="29">
        <f t="shared" ref="Q36:Q65" si="59">M36-(M36*40/100)</f>
        <v>26.420454545454543</v>
      </c>
      <c r="R36" s="29">
        <f t="shared" ref="R36:R65" si="60">M36-(M36*40/100)</f>
        <v>26.420454545454543</v>
      </c>
    </row>
    <row r="37" spans="2:18">
      <c r="B37" s="28">
        <v>3200</v>
      </c>
      <c r="C37" s="33">
        <f>$B37/$E6</f>
        <v>3636.3636363636365</v>
      </c>
      <c r="D37" s="29">
        <f>(($B37/$E6)*$E5*60)/(12*5280)</f>
        <v>51.652892561983464</v>
      </c>
      <c r="E37" s="197">
        <f t="shared" si="51"/>
        <v>46.487603305785115</v>
      </c>
      <c r="F37" s="29">
        <f t="shared" si="52"/>
        <v>41.322314049586772</v>
      </c>
      <c r="G37" s="29">
        <f t="shared" si="53"/>
        <v>36.157024793388423</v>
      </c>
      <c r="H37" s="29">
        <f t="shared" si="54"/>
        <v>30.991735537190081</v>
      </c>
      <c r="I37" s="29">
        <f t="shared" si="55"/>
        <v>30.991735537190081</v>
      </c>
      <c r="K37" s="28">
        <f t="shared" si="10"/>
        <v>3200</v>
      </c>
      <c r="L37" s="33">
        <f>$B37/$N6</f>
        <v>3200</v>
      </c>
      <c r="M37" s="29">
        <f>(($B37/$N6)*$N5*60)/(12*5280)</f>
        <v>45.454545454545453</v>
      </c>
      <c r="N37" s="197">
        <f t="shared" si="56"/>
        <v>40.909090909090907</v>
      </c>
      <c r="O37" s="29">
        <f t="shared" si="57"/>
        <v>36.36363636363636</v>
      </c>
      <c r="P37" s="29">
        <f t="shared" si="58"/>
        <v>31.81818181818182</v>
      </c>
      <c r="Q37" s="29">
        <f t="shared" si="59"/>
        <v>27.272727272727273</v>
      </c>
      <c r="R37" s="29">
        <f t="shared" si="60"/>
        <v>27.272727272727273</v>
      </c>
    </row>
    <row r="38" spans="2:18">
      <c r="B38" s="28">
        <v>3300</v>
      </c>
      <c r="C38" s="33">
        <f>$B38/$E6</f>
        <v>3750</v>
      </c>
      <c r="D38" s="29">
        <f>(($B38/$E6)*$E5*60)/(12*5280)</f>
        <v>53.267045454545453</v>
      </c>
      <c r="E38" s="197">
        <f t="shared" si="51"/>
        <v>47.940340909090907</v>
      </c>
      <c r="F38" s="29">
        <f t="shared" si="52"/>
        <v>42.61363636363636</v>
      </c>
      <c r="G38" s="29">
        <f t="shared" si="53"/>
        <v>37.28693181818182</v>
      </c>
      <c r="H38" s="29">
        <f t="shared" si="54"/>
        <v>31.960227272727273</v>
      </c>
      <c r="I38" s="29">
        <f t="shared" si="55"/>
        <v>31.960227272727273</v>
      </c>
      <c r="K38" s="28">
        <f t="shared" si="10"/>
        <v>3300</v>
      </c>
      <c r="L38" s="33">
        <f>$B38/$N6</f>
        <v>3300</v>
      </c>
      <c r="M38" s="29">
        <f>(($B38/$N6)*$N5*60)/(12*5280)</f>
        <v>46.875</v>
      </c>
      <c r="N38" s="197">
        <f t="shared" si="56"/>
        <v>42.1875</v>
      </c>
      <c r="O38" s="29">
        <f t="shared" si="57"/>
        <v>37.5</v>
      </c>
      <c r="P38" s="29">
        <f t="shared" si="58"/>
        <v>32.8125</v>
      </c>
      <c r="Q38" s="29">
        <f t="shared" si="59"/>
        <v>28.125</v>
      </c>
      <c r="R38" s="29">
        <f t="shared" si="60"/>
        <v>28.125</v>
      </c>
    </row>
    <row r="39" spans="2:18">
      <c r="B39" s="28">
        <v>3400</v>
      </c>
      <c r="C39" s="33">
        <f>$B39/$E6</f>
        <v>3863.6363636363635</v>
      </c>
      <c r="D39" s="29">
        <f>(($B39/$E6)*$E5*60)/(12*5280)</f>
        <v>54.881198347107443</v>
      </c>
      <c r="E39" s="197">
        <f t="shared" si="51"/>
        <v>49.393078512396698</v>
      </c>
      <c r="F39" s="29">
        <f t="shared" si="52"/>
        <v>43.904958677685954</v>
      </c>
      <c r="G39" s="29">
        <f t="shared" si="53"/>
        <v>38.41683884297521</v>
      </c>
      <c r="H39" s="29">
        <f t="shared" si="54"/>
        <v>32.928719008264466</v>
      </c>
      <c r="I39" s="29">
        <f t="shared" si="55"/>
        <v>32.928719008264466</v>
      </c>
      <c r="K39" s="28">
        <f t="shared" si="10"/>
        <v>3400</v>
      </c>
      <c r="L39" s="33">
        <f>$B39/$N6</f>
        <v>3400</v>
      </c>
      <c r="M39" s="29">
        <f>(($B39/$N6)*$N5*60)/(12*5280)</f>
        <v>48.295454545454547</v>
      </c>
      <c r="N39" s="197">
        <f t="shared" si="56"/>
        <v>43.465909090909093</v>
      </c>
      <c r="O39" s="29">
        <f t="shared" si="57"/>
        <v>38.63636363636364</v>
      </c>
      <c r="P39" s="29">
        <f t="shared" si="58"/>
        <v>33.80681818181818</v>
      </c>
      <c r="Q39" s="29">
        <f t="shared" si="59"/>
        <v>28.977272727272727</v>
      </c>
      <c r="R39" s="29">
        <f t="shared" si="60"/>
        <v>28.977272727272727</v>
      </c>
    </row>
    <row r="40" spans="2:18">
      <c r="B40" s="30">
        <v>3500</v>
      </c>
      <c r="C40" s="33">
        <f>$B40/$E6</f>
        <v>3977.2727272727275</v>
      </c>
      <c r="D40" s="29">
        <f>(($B40/$E6)*$E5*60)/(12*5280)</f>
        <v>56.495351239669425</v>
      </c>
      <c r="E40" s="197">
        <f t="shared" si="51"/>
        <v>50.845816115702483</v>
      </c>
      <c r="F40" s="31">
        <f t="shared" si="52"/>
        <v>45.196280991735541</v>
      </c>
      <c r="G40" s="31">
        <f t="shared" si="53"/>
        <v>39.546745867768593</v>
      </c>
      <c r="H40" s="31">
        <f t="shared" si="54"/>
        <v>33.897210743801651</v>
      </c>
      <c r="I40" s="31">
        <f t="shared" si="55"/>
        <v>33.897210743801651</v>
      </c>
      <c r="K40" s="30">
        <f t="shared" si="10"/>
        <v>3500</v>
      </c>
      <c r="L40" s="33">
        <f>$B40/$N6</f>
        <v>3500</v>
      </c>
      <c r="M40" s="29">
        <f>(($B40/$N6)*$N5*60)/(12*5280)</f>
        <v>49.715909090909093</v>
      </c>
      <c r="N40" s="197">
        <f t="shared" si="56"/>
        <v>44.744318181818187</v>
      </c>
      <c r="O40" s="31">
        <f t="shared" si="57"/>
        <v>39.772727272727273</v>
      </c>
      <c r="P40" s="31">
        <f t="shared" si="58"/>
        <v>34.801136363636367</v>
      </c>
      <c r="Q40" s="31">
        <f t="shared" si="59"/>
        <v>29.829545454545457</v>
      </c>
      <c r="R40" s="31">
        <f t="shared" si="60"/>
        <v>29.829545454545457</v>
      </c>
    </row>
    <row r="41" spans="2:18">
      <c r="B41" s="28">
        <v>3600</v>
      </c>
      <c r="C41" s="33">
        <f>$B41/$E6</f>
        <v>4090.909090909091</v>
      </c>
      <c r="D41" s="29">
        <f>(($B41/$E6)*$E5*60)/(12*5280)</f>
        <v>58.109504132231407</v>
      </c>
      <c r="E41" s="197">
        <f t="shared" si="51"/>
        <v>52.298553719008268</v>
      </c>
      <c r="F41" s="29">
        <f t="shared" si="52"/>
        <v>46.487603305785129</v>
      </c>
      <c r="G41" s="29">
        <f t="shared" si="53"/>
        <v>40.676652892561989</v>
      </c>
      <c r="H41" s="29">
        <f t="shared" si="54"/>
        <v>34.86570247933885</v>
      </c>
      <c r="I41" s="29">
        <f t="shared" si="55"/>
        <v>34.86570247933885</v>
      </c>
      <c r="K41" s="28">
        <f t="shared" si="10"/>
        <v>3600</v>
      </c>
      <c r="L41" s="33">
        <f>$B41/$N6</f>
        <v>3600</v>
      </c>
      <c r="M41" s="29">
        <f>(($B41/$N6)*$N5*60)/(12*5280)</f>
        <v>51.136363636363633</v>
      </c>
      <c r="N41" s="197">
        <f t="shared" si="56"/>
        <v>46.022727272727266</v>
      </c>
      <c r="O41" s="29">
        <f t="shared" si="57"/>
        <v>40.909090909090907</v>
      </c>
      <c r="P41" s="29">
        <f t="shared" si="58"/>
        <v>35.795454545454547</v>
      </c>
      <c r="Q41" s="29">
        <f t="shared" si="59"/>
        <v>30.68181818181818</v>
      </c>
      <c r="R41" s="29">
        <f t="shared" si="60"/>
        <v>30.68181818181818</v>
      </c>
    </row>
    <row r="42" spans="2:18">
      <c r="B42" s="28">
        <v>3700</v>
      </c>
      <c r="C42" s="33">
        <f>$B42/$E6</f>
        <v>4204.545454545455</v>
      </c>
      <c r="D42" s="29">
        <f>(($B42/$E6)*$E5*60)/(12*5280)</f>
        <v>59.72365702479339</v>
      </c>
      <c r="E42" s="197">
        <f t="shared" si="51"/>
        <v>53.751291322314053</v>
      </c>
      <c r="F42" s="29">
        <f t="shared" si="52"/>
        <v>47.778925619834709</v>
      </c>
      <c r="G42" s="29">
        <f t="shared" si="53"/>
        <v>41.806559917355372</v>
      </c>
      <c r="H42" s="29">
        <f t="shared" si="54"/>
        <v>35.834194214876035</v>
      </c>
      <c r="I42" s="29">
        <f t="shared" si="55"/>
        <v>35.834194214876035</v>
      </c>
      <c r="K42" s="28">
        <f t="shared" si="10"/>
        <v>3700</v>
      </c>
      <c r="L42" s="33">
        <f>$B42/$N6</f>
        <v>3700</v>
      </c>
      <c r="M42" s="29">
        <f>(($B42/$N6)*$N5*60)/(12*5280)</f>
        <v>52.55681818181818</v>
      </c>
      <c r="N42" s="197">
        <f t="shared" si="56"/>
        <v>47.30113636363636</v>
      </c>
      <c r="O42" s="29">
        <f t="shared" si="57"/>
        <v>42.045454545454547</v>
      </c>
      <c r="P42" s="29">
        <f t="shared" si="58"/>
        <v>36.789772727272727</v>
      </c>
      <c r="Q42" s="29">
        <f t="shared" si="59"/>
        <v>31.53409090909091</v>
      </c>
      <c r="R42" s="29">
        <f t="shared" si="60"/>
        <v>31.53409090909091</v>
      </c>
    </row>
    <row r="43" spans="2:18">
      <c r="B43" s="28">
        <v>3800</v>
      </c>
      <c r="C43" s="33">
        <f>$B43/$E6</f>
        <v>4318.181818181818</v>
      </c>
      <c r="D43" s="29">
        <f>(($B43/$E6)*$E5*60)/(12*5280)</f>
        <v>61.337809917355372</v>
      </c>
      <c r="E43" s="197">
        <f t="shared" si="51"/>
        <v>55.204028925619838</v>
      </c>
      <c r="F43" s="29">
        <f t="shared" si="52"/>
        <v>49.070247933884296</v>
      </c>
      <c r="G43" s="29">
        <f t="shared" si="53"/>
        <v>42.936466942148755</v>
      </c>
      <c r="H43" s="29">
        <f t="shared" si="54"/>
        <v>36.80268595041322</v>
      </c>
      <c r="I43" s="29">
        <f t="shared" si="55"/>
        <v>36.80268595041322</v>
      </c>
      <c r="K43" s="28">
        <f t="shared" si="10"/>
        <v>3800</v>
      </c>
      <c r="L43" s="33">
        <f>$B43/$N6</f>
        <v>3800</v>
      </c>
      <c r="M43" s="29">
        <f>(($B43/$N6)*$N5*60)/(12*5280)</f>
        <v>53.977272727272727</v>
      </c>
      <c r="N43" s="197">
        <f t="shared" si="56"/>
        <v>48.579545454545453</v>
      </c>
      <c r="O43" s="29">
        <f t="shared" si="57"/>
        <v>43.18181818181818</v>
      </c>
      <c r="P43" s="29">
        <f t="shared" si="58"/>
        <v>37.784090909090907</v>
      </c>
      <c r="Q43" s="29">
        <f t="shared" si="59"/>
        <v>32.38636363636364</v>
      </c>
      <c r="R43" s="29">
        <f t="shared" si="60"/>
        <v>32.38636363636364</v>
      </c>
    </row>
    <row r="44" spans="2:18">
      <c r="B44" s="28">
        <v>3900</v>
      </c>
      <c r="C44" s="33">
        <f>$B44/$E6</f>
        <v>4431.818181818182</v>
      </c>
      <c r="D44" s="29">
        <f>(($B44/$E6)*$E5*60)/(12*5280)</f>
        <v>62.951962809917362</v>
      </c>
      <c r="E44" s="197">
        <f t="shared" si="51"/>
        <v>56.65676652892563</v>
      </c>
      <c r="F44" s="29">
        <f t="shared" si="52"/>
        <v>50.361570247933891</v>
      </c>
      <c r="G44" s="29">
        <f t="shared" si="53"/>
        <v>44.066373966942152</v>
      </c>
      <c r="H44" s="29">
        <f t="shared" si="54"/>
        <v>37.77117768595042</v>
      </c>
      <c r="I44" s="29">
        <f t="shared" si="55"/>
        <v>37.77117768595042</v>
      </c>
      <c r="K44" s="28">
        <f t="shared" si="10"/>
        <v>3900</v>
      </c>
      <c r="L44" s="33">
        <f>$B44/$N6</f>
        <v>3900</v>
      </c>
      <c r="M44" s="29">
        <f>(($B44/$N6)*$N5*60)/(12*5280)</f>
        <v>55.397727272727273</v>
      </c>
      <c r="N44" s="197">
        <f t="shared" si="56"/>
        <v>49.857954545454547</v>
      </c>
      <c r="O44" s="29">
        <f t="shared" si="57"/>
        <v>44.31818181818182</v>
      </c>
      <c r="P44" s="29">
        <f t="shared" si="58"/>
        <v>38.778409090909093</v>
      </c>
      <c r="Q44" s="29">
        <f t="shared" si="59"/>
        <v>33.23863636363636</v>
      </c>
      <c r="R44" s="29">
        <f t="shared" si="60"/>
        <v>33.23863636363636</v>
      </c>
    </row>
    <row r="45" spans="2:18">
      <c r="B45" s="30">
        <v>4000</v>
      </c>
      <c r="C45" s="33">
        <f>$B45/$E6</f>
        <v>4545.454545454545</v>
      </c>
      <c r="D45" s="29">
        <f>(($B45/$E6)*$E5*60)/(12*5280)</f>
        <v>64.566115702479337</v>
      </c>
      <c r="E45" s="197">
        <f t="shared" si="51"/>
        <v>58.1095041322314</v>
      </c>
      <c r="F45" s="31">
        <f t="shared" si="52"/>
        <v>51.652892561983471</v>
      </c>
      <c r="G45" s="31">
        <f t="shared" si="53"/>
        <v>45.196280991735534</v>
      </c>
      <c r="H45" s="31">
        <f t="shared" si="54"/>
        <v>38.739669421487605</v>
      </c>
      <c r="I45" s="31">
        <f t="shared" si="55"/>
        <v>38.739669421487605</v>
      </c>
      <c r="K45" s="30">
        <f t="shared" si="10"/>
        <v>4000</v>
      </c>
      <c r="L45" s="33">
        <f>$B45/$N6</f>
        <v>4000</v>
      </c>
      <c r="M45" s="29">
        <f>(($B45/$N6)*$N5*60)/(12*5280)</f>
        <v>56.81818181818182</v>
      </c>
      <c r="N45" s="197">
        <f t="shared" si="56"/>
        <v>51.13636363636364</v>
      </c>
      <c r="O45" s="31">
        <f t="shared" si="57"/>
        <v>45.454545454545453</v>
      </c>
      <c r="P45" s="31">
        <f t="shared" si="58"/>
        <v>39.772727272727273</v>
      </c>
      <c r="Q45" s="31">
        <f t="shared" si="59"/>
        <v>34.090909090909093</v>
      </c>
      <c r="R45" s="31">
        <f t="shared" si="60"/>
        <v>34.090909090909093</v>
      </c>
    </row>
    <row r="46" spans="2:18">
      <c r="B46" s="28">
        <v>4100</v>
      </c>
      <c r="C46" s="33">
        <f>$B46/$E6</f>
        <v>4659.090909090909</v>
      </c>
      <c r="D46" s="29">
        <f>(($B46/$E6)*$E5*60)/(12*5280)</f>
        <v>66.180268595041312</v>
      </c>
      <c r="E46" s="197">
        <f t="shared" si="51"/>
        <v>59.562241735537185</v>
      </c>
      <c r="F46" s="29">
        <f t="shared" si="52"/>
        <v>52.944214876033051</v>
      </c>
      <c r="G46" s="29">
        <f t="shared" si="53"/>
        <v>46.326188016528917</v>
      </c>
      <c r="H46" s="29">
        <f t="shared" si="54"/>
        <v>39.70816115702479</v>
      </c>
      <c r="I46" s="29">
        <f t="shared" si="55"/>
        <v>39.70816115702479</v>
      </c>
      <c r="K46" s="28">
        <f t="shared" si="10"/>
        <v>4100</v>
      </c>
      <c r="L46" s="33">
        <f>$B46/$N6</f>
        <v>4100</v>
      </c>
      <c r="M46" s="29">
        <f>(($B46/$N6)*$N5*60)/(12*5280)</f>
        <v>58.238636363636367</v>
      </c>
      <c r="N46" s="197">
        <f t="shared" si="56"/>
        <v>52.414772727272734</v>
      </c>
      <c r="O46" s="29">
        <f t="shared" si="57"/>
        <v>46.590909090909093</v>
      </c>
      <c r="P46" s="29">
        <f t="shared" si="58"/>
        <v>40.767045454545453</v>
      </c>
      <c r="Q46" s="29">
        <f t="shared" si="59"/>
        <v>34.94318181818182</v>
      </c>
      <c r="R46" s="29">
        <f t="shared" si="60"/>
        <v>34.94318181818182</v>
      </c>
    </row>
    <row r="47" spans="2:18">
      <c r="B47" s="28">
        <v>4200</v>
      </c>
      <c r="C47" s="33">
        <f>$B47/$E6</f>
        <v>4772.727272727273</v>
      </c>
      <c r="D47" s="29">
        <f>(($B47/$E6)*$E5*60)/(12*5280)</f>
        <v>67.794421487603302</v>
      </c>
      <c r="E47" s="197">
        <f t="shared" si="51"/>
        <v>61.01497933884297</v>
      </c>
      <c r="F47" s="29">
        <f t="shared" si="52"/>
        <v>54.235537190082638</v>
      </c>
      <c r="G47" s="29">
        <f t="shared" si="53"/>
        <v>47.456095041322314</v>
      </c>
      <c r="H47" s="29">
        <f t="shared" si="54"/>
        <v>40.676652892561982</v>
      </c>
      <c r="I47" s="29">
        <f t="shared" si="55"/>
        <v>40.676652892561982</v>
      </c>
      <c r="K47" s="28">
        <f t="shared" si="10"/>
        <v>4200</v>
      </c>
      <c r="L47" s="33">
        <f>$B47/$N6</f>
        <v>4200</v>
      </c>
      <c r="M47" s="29">
        <f>(($B47/$N6)*$N5*60)/(12*5280)</f>
        <v>59.659090909090907</v>
      </c>
      <c r="N47" s="197">
        <f t="shared" si="56"/>
        <v>53.693181818181813</v>
      </c>
      <c r="O47" s="29">
        <f t="shared" si="57"/>
        <v>47.727272727272727</v>
      </c>
      <c r="P47" s="29">
        <f t="shared" si="58"/>
        <v>41.761363636363633</v>
      </c>
      <c r="Q47" s="29">
        <f t="shared" si="59"/>
        <v>35.795454545454547</v>
      </c>
      <c r="R47" s="29">
        <f t="shared" si="60"/>
        <v>35.795454545454547</v>
      </c>
    </row>
    <row r="48" spans="2:18">
      <c r="B48" s="28">
        <v>4300</v>
      </c>
      <c r="C48" s="33">
        <f>$B48/$E6</f>
        <v>4886.363636363636</v>
      </c>
      <c r="D48" s="29">
        <f>(($B48/$E6)*$E5*60)/(12*5280)</f>
        <v>69.408574380165291</v>
      </c>
      <c r="E48" s="197">
        <f t="shared" si="51"/>
        <v>62.467716942148762</v>
      </c>
      <c r="F48" s="29">
        <f t="shared" si="52"/>
        <v>55.526859504132233</v>
      </c>
      <c r="G48" s="29">
        <f t="shared" si="53"/>
        <v>48.586002066115697</v>
      </c>
      <c r="H48" s="29">
        <f t="shared" si="54"/>
        <v>41.645144628099175</v>
      </c>
      <c r="I48" s="29">
        <f t="shared" si="55"/>
        <v>41.645144628099175</v>
      </c>
      <c r="K48" s="28">
        <f t="shared" si="10"/>
        <v>4300</v>
      </c>
      <c r="L48" s="33">
        <f>$B48/$N6</f>
        <v>4300</v>
      </c>
      <c r="M48" s="29">
        <f>(($B48/$N6)*$N5*60)/(12*5280)</f>
        <v>61.079545454545453</v>
      </c>
      <c r="N48" s="197">
        <f t="shared" si="56"/>
        <v>54.971590909090907</v>
      </c>
      <c r="O48" s="29">
        <f t="shared" si="57"/>
        <v>48.86363636363636</v>
      </c>
      <c r="P48" s="29">
        <f t="shared" si="58"/>
        <v>42.755681818181813</v>
      </c>
      <c r="Q48" s="29">
        <f t="shared" si="59"/>
        <v>36.647727272727273</v>
      </c>
      <c r="R48" s="29">
        <f t="shared" si="60"/>
        <v>36.647727272727273</v>
      </c>
    </row>
    <row r="49" spans="2:18">
      <c r="B49" s="28">
        <v>4400</v>
      </c>
      <c r="C49" s="33">
        <f>$B49/$E6</f>
        <v>5000</v>
      </c>
      <c r="D49" s="29">
        <f>(($B49/$E6)*$E5*60)/(12*5280)</f>
        <v>71.022727272727266</v>
      </c>
      <c r="E49" s="197">
        <f t="shared" si="51"/>
        <v>63.92045454545454</v>
      </c>
      <c r="F49" s="29">
        <f t="shared" si="52"/>
        <v>56.818181818181813</v>
      </c>
      <c r="G49" s="29">
        <f t="shared" si="53"/>
        <v>49.715909090909086</v>
      </c>
      <c r="H49" s="29">
        <f t="shared" si="54"/>
        <v>42.61363636363636</v>
      </c>
      <c r="I49" s="29">
        <f t="shared" si="55"/>
        <v>42.61363636363636</v>
      </c>
      <c r="K49" s="28">
        <f t="shared" si="10"/>
        <v>4400</v>
      </c>
      <c r="L49" s="33">
        <f>$B49/$N6</f>
        <v>4400</v>
      </c>
      <c r="M49" s="29">
        <f>(($B49/$N6)*$N5*60)/(12*5280)</f>
        <v>62.5</v>
      </c>
      <c r="N49" s="197">
        <f t="shared" si="56"/>
        <v>56.25</v>
      </c>
      <c r="O49" s="29">
        <f t="shared" si="57"/>
        <v>50</v>
      </c>
      <c r="P49" s="29">
        <f t="shared" si="58"/>
        <v>43.75</v>
      </c>
      <c r="Q49" s="29">
        <f t="shared" si="59"/>
        <v>37.5</v>
      </c>
      <c r="R49" s="29">
        <f t="shared" si="60"/>
        <v>37.5</v>
      </c>
    </row>
    <row r="50" spans="2:18">
      <c r="B50" s="30">
        <v>4500</v>
      </c>
      <c r="C50" s="33">
        <f>$B50/$E6</f>
        <v>5113.636363636364</v>
      </c>
      <c r="D50" s="29">
        <f>(($B50/$E6)*$E5*60)/(12*5280)</f>
        <v>72.636880165289256</v>
      </c>
      <c r="E50" s="197">
        <f t="shared" si="51"/>
        <v>65.373192148760324</v>
      </c>
      <c r="F50" s="31">
        <f t="shared" si="52"/>
        <v>58.109504132231407</v>
      </c>
      <c r="G50" s="31">
        <f t="shared" si="53"/>
        <v>50.845816115702476</v>
      </c>
      <c r="H50" s="31">
        <f t="shared" si="54"/>
        <v>43.582128099173552</v>
      </c>
      <c r="I50" s="31">
        <f t="shared" si="55"/>
        <v>43.582128099173552</v>
      </c>
      <c r="K50" s="30">
        <f t="shared" si="10"/>
        <v>4500</v>
      </c>
      <c r="L50" s="33">
        <f>$B50/$N6</f>
        <v>4500</v>
      </c>
      <c r="M50" s="29">
        <f>(($B50/$N6)*$N5*60)/(12*5280)</f>
        <v>63.920454545454547</v>
      </c>
      <c r="N50" s="197">
        <f t="shared" si="56"/>
        <v>57.528409090909093</v>
      </c>
      <c r="O50" s="31">
        <f t="shared" si="57"/>
        <v>51.13636363636364</v>
      </c>
      <c r="P50" s="31">
        <f t="shared" si="58"/>
        <v>44.744318181818187</v>
      </c>
      <c r="Q50" s="31">
        <f t="shared" si="59"/>
        <v>38.352272727272727</v>
      </c>
      <c r="R50" s="31">
        <f t="shared" si="60"/>
        <v>38.352272727272727</v>
      </c>
    </row>
    <row r="51" spans="2:18">
      <c r="B51" s="28">
        <v>4600</v>
      </c>
      <c r="C51" s="33">
        <f>$B51/$E6</f>
        <v>5227.272727272727</v>
      </c>
      <c r="D51" s="29">
        <f>(($B51/$E6)*$E5*60)/(12*5280)</f>
        <v>74.251033057851245</v>
      </c>
      <c r="E51" s="197">
        <f t="shared" si="51"/>
        <v>66.825929752066116</v>
      </c>
      <c r="F51" s="29">
        <f t="shared" si="52"/>
        <v>59.400826446280995</v>
      </c>
      <c r="G51" s="29">
        <f t="shared" si="53"/>
        <v>51.975723140495873</v>
      </c>
      <c r="H51" s="29">
        <f t="shared" si="54"/>
        <v>44.550619834710744</v>
      </c>
      <c r="I51" s="29">
        <f t="shared" si="55"/>
        <v>44.550619834710744</v>
      </c>
      <c r="K51" s="28">
        <f t="shared" si="10"/>
        <v>4600</v>
      </c>
      <c r="L51" s="33">
        <f>$B51/$N6</f>
        <v>4600</v>
      </c>
      <c r="M51" s="29">
        <f>(($B51/$N6)*$N5*60)/(12*5280)</f>
        <v>65.340909090909093</v>
      </c>
      <c r="N51" s="197">
        <f t="shared" si="56"/>
        <v>58.806818181818187</v>
      </c>
      <c r="O51" s="29">
        <f t="shared" si="57"/>
        <v>52.272727272727273</v>
      </c>
      <c r="P51" s="29">
        <f t="shared" si="58"/>
        <v>45.738636363636367</v>
      </c>
      <c r="Q51" s="29">
        <f t="shared" si="59"/>
        <v>39.204545454545453</v>
      </c>
      <c r="R51" s="29">
        <f t="shared" si="60"/>
        <v>39.204545454545453</v>
      </c>
    </row>
    <row r="52" spans="2:18">
      <c r="B52" s="28">
        <v>4700</v>
      </c>
      <c r="C52" s="33">
        <f>$B52/$E6</f>
        <v>5340.909090909091</v>
      </c>
      <c r="D52" s="29">
        <f>(($B52/$E6)*$E5*60)/(12*5280)</f>
        <v>75.86518595041322</v>
      </c>
      <c r="E52" s="197">
        <f t="shared" si="51"/>
        <v>68.278667355371894</v>
      </c>
      <c r="F52" s="29">
        <f t="shared" si="52"/>
        <v>60.692148760330575</v>
      </c>
      <c r="G52" s="29">
        <f t="shared" si="53"/>
        <v>53.105630165289256</v>
      </c>
      <c r="H52" s="29">
        <f t="shared" si="54"/>
        <v>45.519111570247929</v>
      </c>
      <c r="I52" s="29">
        <f t="shared" si="55"/>
        <v>45.519111570247929</v>
      </c>
      <c r="K52" s="28">
        <f t="shared" si="10"/>
        <v>4700</v>
      </c>
      <c r="L52" s="33">
        <f>$B52/$N6</f>
        <v>4700</v>
      </c>
      <c r="M52" s="29">
        <f>(($B52/$N6)*$N5*60)/(12*5280)</f>
        <v>66.76136363636364</v>
      </c>
      <c r="N52" s="197">
        <f t="shared" si="56"/>
        <v>60.08522727272728</v>
      </c>
      <c r="O52" s="29">
        <f t="shared" si="57"/>
        <v>53.409090909090914</v>
      </c>
      <c r="P52" s="29">
        <f t="shared" si="58"/>
        <v>46.732954545454547</v>
      </c>
      <c r="Q52" s="29">
        <f t="shared" si="59"/>
        <v>40.056818181818187</v>
      </c>
      <c r="R52" s="29">
        <f t="shared" si="60"/>
        <v>40.056818181818187</v>
      </c>
    </row>
    <row r="53" spans="2:18">
      <c r="B53" s="28">
        <v>4800</v>
      </c>
      <c r="C53" s="33">
        <f>$B53/$E6</f>
        <v>5454.545454545455</v>
      </c>
      <c r="D53" s="29">
        <f>(($B53/$E6)*$E5*60)/(12*5280)</f>
        <v>77.47933884297521</v>
      </c>
      <c r="E53" s="197">
        <f t="shared" si="51"/>
        <v>69.731404958677686</v>
      </c>
      <c r="F53" s="29">
        <f t="shared" si="52"/>
        <v>61.983471074380169</v>
      </c>
      <c r="G53" s="29">
        <f t="shared" si="53"/>
        <v>54.235537190082653</v>
      </c>
      <c r="H53" s="29">
        <f t="shared" si="54"/>
        <v>46.487603305785129</v>
      </c>
      <c r="I53" s="29">
        <f t="shared" si="55"/>
        <v>46.487603305785129</v>
      </c>
      <c r="K53" s="28">
        <f t="shared" si="10"/>
        <v>4800</v>
      </c>
      <c r="L53" s="33">
        <f>$B53/$N6</f>
        <v>4800</v>
      </c>
      <c r="M53" s="29">
        <f>(($B53/$N6)*$N5*60)/(12*5280)</f>
        <v>68.181818181818187</v>
      </c>
      <c r="N53" s="197">
        <f t="shared" si="56"/>
        <v>61.363636363636367</v>
      </c>
      <c r="O53" s="29">
        <f t="shared" si="57"/>
        <v>54.545454545454547</v>
      </c>
      <c r="P53" s="29">
        <f t="shared" si="58"/>
        <v>47.727272727272734</v>
      </c>
      <c r="Q53" s="29">
        <f t="shared" si="59"/>
        <v>40.909090909090914</v>
      </c>
      <c r="R53" s="29">
        <f t="shared" si="60"/>
        <v>40.909090909090914</v>
      </c>
    </row>
    <row r="54" spans="2:18">
      <c r="B54" s="28">
        <v>4900</v>
      </c>
      <c r="C54" s="33">
        <f>$B54/$E6</f>
        <v>5568.181818181818</v>
      </c>
      <c r="D54" s="29">
        <f>(($B54/$E6)*$E5*60)/(12*5280)</f>
        <v>79.093491735537185</v>
      </c>
      <c r="E54" s="197">
        <f t="shared" si="51"/>
        <v>71.184142561983464</v>
      </c>
      <c r="F54" s="29">
        <f t="shared" si="52"/>
        <v>63.27479338842975</v>
      </c>
      <c r="G54" s="29">
        <f t="shared" si="53"/>
        <v>55.365444214876028</v>
      </c>
      <c r="H54" s="29">
        <f t="shared" si="54"/>
        <v>47.456095041322314</v>
      </c>
      <c r="I54" s="29">
        <f t="shared" si="55"/>
        <v>47.456095041322314</v>
      </c>
      <c r="K54" s="28">
        <f t="shared" si="10"/>
        <v>4900</v>
      </c>
      <c r="L54" s="33">
        <f>$B54/$N6</f>
        <v>4900</v>
      </c>
      <c r="M54" s="29">
        <f>(($B54/$N6)*$N5*60)/(12*5280)</f>
        <v>69.602272727272734</v>
      </c>
      <c r="N54" s="197">
        <f t="shared" si="56"/>
        <v>62.64204545454546</v>
      </c>
      <c r="O54" s="29">
        <f t="shared" si="57"/>
        <v>55.681818181818187</v>
      </c>
      <c r="P54" s="29">
        <f t="shared" si="58"/>
        <v>48.721590909090914</v>
      </c>
      <c r="Q54" s="29">
        <f t="shared" si="59"/>
        <v>41.76136363636364</v>
      </c>
      <c r="R54" s="29">
        <f t="shared" si="60"/>
        <v>41.76136363636364</v>
      </c>
    </row>
    <row r="55" spans="2:18">
      <c r="B55" s="30">
        <v>5000</v>
      </c>
      <c r="C55" s="33">
        <f>$B55/$E6</f>
        <v>5681.818181818182</v>
      </c>
      <c r="D55" s="29">
        <f>(($B55/$E6)*$E5*60)/(12*5280)</f>
        <v>80.707644628099189</v>
      </c>
      <c r="E55" s="197">
        <f t="shared" si="51"/>
        <v>72.63688016528927</v>
      </c>
      <c r="F55" s="31">
        <f t="shared" si="52"/>
        <v>64.566115702479351</v>
      </c>
      <c r="G55" s="31">
        <f t="shared" si="53"/>
        <v>56.495351239669432</v>
      </c>
      <c r="H55" s="31">
        <f t="shared" si="54"/>
        <v>48.424586776859513</v>
      </c>
      <c r="I55" s="31">
        <f t="shared" si="55"/>
        <v>48.424586776859513</v>
      </c>
      <c r="K55" s="30">
        <f t="shared" si="10"/>
        <v>5000</v>
      </c>
      <c r="L55" s="33">
        <f>$B55/$N6</f>
        <v>5000</v>
      </c>
      <c r="M55" s="29">
        <f>(($B55/$N6)*$N5*60)/(12*5280)</f>
        <v>71.022727272727266</v>
      </c>
      <c r="N55" s="197">
        <f t="shared" si="56"/>
        <v>63.92045454545454</v>
      </c>
      <c r="O55" s="31">
        <f t="shared" si="57"/>
        <v>56.818181818181813</v>
      </c>
      <c r="P55" s="31">
        <f t="shared" si="58"/>
        <v>49.715909090909086</v>
      </c>
      <c r="Q55" s="31">
        <f t="shared" si="59"/>
        <v>42.61363636363636</v>
      </c>
      <c r="R55" s="31">
        <f t="shared" si="60"/>
        <v>42.61363636363636</v>
      </c>
    </row>
    <row r="56" spans="2:18">
      <c r="B56" s="28">
        <v>5100</v>
      </c>
      <c r="C56" s="33">
        <f>$B56/$E6</f>
        <v>5795.454545454545</v>
      </c>
      <c r="D56" s="29">
        <f>(($B56/$E6)*$E5*60)/(12*5280)</f>
        <v>82.32179752066115</v>
      </c>
      <c r="E56" s="197">
        <f t="shared" si="51"/>
        <v>74.089617768595033</v>
      </c>
      <c r="F56" s="29">
        <f t="shared" si="52"/>
        <v>65.857438016528917</v>
      </c>
      <c r="G56" s="29">
        <f t="shared" si="53"/>
        <v>57.625258264462808</v>
      </c>
      <c r="H56" s="29">
        <f t="shared" si="54"/>
        <v>49.393078512396691</v>
      </c>
      <c r="I56" s="29">
        <f t="shared" si="55"/>
        <v>49.393078512396691</v>
      </c>
      <c r="K56" s="28">
        <f t="shared" si="10"/>
        <v>5100</v>
      </c>
      <c r="L56" s="33">
        <f>$B56/$N6</f>
        <v>5100</v>
      </c>
      <c r="M56" s="29">
        <f>(($B56/$N6)*$N5*60)/(12*5280)</f>
        <v>72.443181818181813</v>
      </c>
      <c r="N56" s="197">
        <f t="shared" si="56"/>
        <v>65.198863636363626</v>
      </c>
      <c r="O56" s="29">
        <f t="shared" si="57"/>
        <v>57.954545454545453</v>
      </c>
      <c r="P56" s="29">
        <f t="shared" si="58"/>
        <v>50.710227272727266</v>
      </c>
      <c r="Q56" s="29">
        <f t="shared" si="59"/>
        <v>43.465909090909086</v>
      </c>
      <c r="R56" s="29">
        <f t="shared" si="60"/>
        <v>43.465909090909086</v>
      </c>
    </row>
    <row r="57" spans="2:18">
      <c r="B57" s="76">
        <v>5200</v>
      </c>
      <c r="C57" s="77">
        <f>$B57/$E6</f>
        <v>5909.090909090909</v>
      </c>
      <c r="D57" s="78">
        <f>(($B57/$E6)*$E5*60)/(12*5280)</f>
        <v>83.935950413223139</v>
      </c>
      <c r="E57" s="197">
        <f t="shared" si="51"/>
        <v>75.542355371900825</v>
      </c>
      <c r="F57" s="78">
        <f t="shared" si="52"/>
        <v>67.148760330578511</v>
      </c>
      <c r="G57" s="78">
        <f t="shared" si="53"/>
        <v>58.755165289256198</v>
      </c>
      <c r="H57" s="78">
        <f t="shared" si="54"/>
        <v>50.361570247933884</v>
      </c>
      <c r="I57" s="78">
        <f t="shared" si="55"/>
        <v>50.361570247933884</v>
      </c>
      <c r="K57" s="28">
        <f t="shared" si="10"/>
        <v>5200</v>
      </c>
      <c r="L57" s="77">
        <f>$B57/$N6</f>
        <v>5200</v>
      </c>
      <c r="M57" s="78">
        <f>(($B57/$N6)*$N5*60)/(12*5280)</f>
        <v>73.86363636363636</v>
      </c>
      <c r="N57" s="197">
        <f t="shared" si="56"/>
        <v>66.47727272727272</v>
      </c>
      <c r="O57" s="78">
        <f t="shared" si="57"/>
        <v>59.090909090909086</v>
      </c>
      <c r="P57" s="78">
        <f t="shared" si="58"/>
        <v>51.704545454545453</v>
      </c>
      <c r="Q57" s="78">
        <f t="shared" si="59"/>
        <v>44.318181818181813</v>
      </c>
      <c r="R57" s="78">
        <f t="shared" si="60"/>
        <v>44.318181818181813</v>
      </c>
    </row>
    <row r="58" spans="2:18">
      <c r="B58" s="28">
        <v>5300</v>
      </c>
      <c r="C58" s="33">
        <f>$B58/$E6</f>
        <v>6022.727272727273</v>
      </c>
      <c r="D58" s="29">
        <f>(($B58/$E6)*$E5*60)/(12*5280)</f>
        <v>85.550103305785115</v>
      </c>
      <c r="E58" s="197">
        <f t="shared" si="51"/>
        <v>76.995092975206603</v>
      </c>
      <c r="F58" s="29">
        <f t="shared" si="52"/>
        <v>68.440082644628092</v>
      </c>
      <c r="G58" s="29">
        <f t="shared" si="53"/>
        <v>59.88507231404958</v>
      </c>
      <c r="H58" s="29">
        <f t="shared" si="54"/>
        <v>51.330061983471069</v>
      </c>
      <c r="I58" s="29">
        <f t="shared" si="55"/>
        <v>51.330061983471069</v>
      </c>
      <c r="K58" s="28">
        <f t="shared" si="10"/>
        <v>5300</v>
      </c>
      <c r="L58" s="33">
        <f>$B58/$N6</f>
        <v>5300</v>
      </c>
      <c r="M58" s="29">
        <f>(($B58/$N6)*$N5*60)/(12*5280)</f>
        <v>75.284090909090907</v>
      </c>
      <c r="N58" s="197">
        <f t="shared" si="56"/>
        <v>67.755681818181813</v>
      </c>
      <c r="O58" s="29">
        <f t="shared" si="57"/>
        <v>60.227272727272727</v>
      </c>
      <c r="P58" s="29">
        <f t="shared" si="58"/>
        <v>52.69886363636364</v>
      </c>
      <c r="Q58" s="29">
        <f t="shared" si="59"/>
        <v>45.170454545454547</v>
      </c>
      <c r="R58" s="29">
        <f t="shared" si="60"/>
        <v>45.170454545454547</v>
      </c>
    </row>
    <row r="59" spans="2:18">
      <c r="B59" s="28">
        <v>5400</v>
      </c>
      <c r="C59" s="33">
        <f>$B59/$E6</f>
        <v>6136.363636363636</v>
      </c>
      <c r="D59" s="29">
        <f>(($B59/$E6)*$E5*60)/(12*5280)</f>
        <v>87.164256198347104</v>
      </c>
      <c r="E59" s="197">
        <f t="shared" si="51"/>
        <v>78.447830578512395</v>
      </c>
      <c r="F59" s="29">
        <f t="shared" si="52"/>
        <v>69.731404958677686</v>
      </c>
      <c r="G59" s="29">
        <f t="shared" si="53"/>
        <v>61.014979338842977</v>
      </c>
      <c r="H59" s="29">
        <f t="shared" si="54"/>
        <v>52.298553719008261</v>
      </c>
      <c r="I59" s="29">
        <f t="shared" si="55"/>
        <v>52.298553719008261</v>
      </c>
      <c r="K59" s="28">
        <f t="shared" si="10"/>
        <v>5400</v>
      </c>
      <c r="L59" s="33">
        <f>$B59/$N6</f>
        <v>5400</v>
      </c>
      <c r="M59" s="29">
        <f>(($B59/$N6)*$N5*60)/(12*5280)</f>
        <v>76.704545454545453</v>
      </c>
      <c r="N59" s="197">
        <f t="shared" si="56"/>
        <v>69.034090909090907</v>
      </c>
      <c r="O59" s="29">
        <f t="shared" si="57"/>
        <v>61.36363636363636</v>
      </c>
      <c r="P59" s="29">
        <f t="shared" si="58"/>
        <v>53.693181818181813</v>
      </c>
      <c r="Q59" s="29">
        <f t="shared" si="59"/>
        <v>46.022727272727273</v>
      </c>
      <c r="R59" s="29">
        <f t="shared" si="60"/>
        <v>46.022727272727273</v>
      </c>
    </row>
    <row r="60" spans="2:18">
      <c r="B60" s="30">
        <v>5500</v>
      </c>
      <c r="C60" s="33">
        <f>$B60/$E6</f>
        <v>6250</v>
      </c>
      <c r="D60" s="29">
        <f>(($B60/$E6)*$E5*60)/(12*5280)</f>
        <v>88.778409090909093</v>
      </c>
      <c r="E60" s="197">
        <f t="shared" si="51"/>
        <v>79.900568181818187</v>
      </c>
      <c r="F60" s="31">
        <f t="shared" si="52"/>
        <v>71.02272727272728</v>
      </c>
      <c r="G60" s="31">
        <f t="shared" si="53"/>
        <v>62.14488636363636</v>
      </c>
      <c r="H60" s="31">
        <f t="shared" si="54"/>
        <v>53.267045454545453</v>
      </c>
      <c r="I60" s="31">
        <f t="shared" si="55"/>
        <v>53.267045454545453</v>
      </c>
      <c r="K60" s="30">
        <f t="shared" si="10"/>
        <v>5500</v>
      </c>
      <c r="L60" s="33">
        <f>$B60/$N6</f>
        <v>5500</v>
      </c>
      <c r="M60" s="29">
        <f>(($B60/$N6)*$N5*60)/(12*5280)</f>
        <v>78.125</v>
      </c>
      <c r="N60" s="197">
        <f t="shared" si="56"/>
        <v>70.3125</v>
      </c>
      <c r="O60" s="31">
        <f t="shared" si="57"/>
        <v>62.5</v>
      </c>
      <c r="P60" s="31">
        <f t="shared" si="58"/>
        <v>54.6875</v>
      </c>
      <c r="Q60" s="31">
        <f t="shared" si="59"/>
        <v>46.875</v>
      </c>
      <c r="R60" s="31">
        <f t="shared" si="60"/>
        <v>46.875</v>
      </c>
    </row>
    <row r="61" spans="2:18">
      <c r="B61" s="28">
        <v>5600</v>
      </c>
      <c r="C61" s="33">
        <f>$B61/$E6</f>
        <v>6363.636363636364</v>
      </c>
      <c r="D61" s="29">
        <f>(($B61/$E6)*$E5*60)/(12*5280)</f>
        <v>90.392561983471083</v>
      </c>
      <c r="E61" s="197">
        <f t="shared" si="51"/>
        <v>81.353305785123979</v>
      </c>
      <c r="F61" s="29">
        <f t="shared" si="52"/>
        <v>72.314049586776861</v>
      </c>
      <c r="G61" s="29">
        <f t="shared" si="53"/>
        <v>63.274793388429757</v>
      </c>
      <c r="H61" s="29">
        <f t="shared" si="54"/>
        <v>54.235537190082653</v>
      </c>
      <c r="I61" s="29">
        <f t="shared" si="55"/>
        <v>54.235537190082653</v>
      </c>
      <c r="K61" s="28">
        <f t="shared" si="10"/>
        <v>5600</v>
      </c>
      <c r="L61" s="33">
        <f>$B61/$N6</f>
        <v>5600</v>
      </c>
      <c r="M61" s="29">
        <f>(($B61/$N6)*$N5*60)/(12*5280)</f>
        <v>79.545454545454547</v>
      </c>
      <c r="N61" s="197">
        <f t="shared" si="56"/>
        <v>71.590909090909093</v>
      </c>
      <c r="O61" s="29">
        <f t="shared" si="57"/>
        <v>63.63636363636364</v>
      </c>
      <c r="P61" s="29">
        <f t="shared" si="58"/>
        <v>55.681818181818187</v>
      </c>
      <c r="Q61" s="29">
        <f t="shared" si="59"/>
        <v>47.727272727272727</v>
      </c>
      <c r="R61" s="29">
        <f t="shared" si="60"/>
        <v>47.727272727272727</v>
      </c>
    </row>
    <row r="62" spans="2:18">
      <c r="B62" s="28">
        <v>5700</v>
      </c>
      <c r="C62" s="33">
        <f>$B62/$E6</f>
        <v>6477.272727272727</v>
      </c>
      <c r="D62" s="29">
        <f>(($B62/$E6)*$E5*60)/(12*5280)</f>
        <v>92.006714876033072</v>
      </c>
      <c r="E62" s="197">
        <f t="shared" si="51"/>
        <v>82.806043388429771</v>
      </c>
      <c r="F62" s="29">
        <f t="shared" si="52"/>
        <v>73.605371900826455</v>
      </c>
      <c r="G62" s="29">
        <f t="shared" si="53"/>
        <v>64.404700413223154</v>
      </c>
      <c r="H62" s="29">
        <f t="shared" si="54"/>
        <v>55.204028925619845</v>
      </c>
      <c r="I62" s="29">
        <f t="shared" si="55"/>
        <v>55.204028925619845</v>
      </c>
      <c r="K62" s="28">
        <f t="shared" si="10"/>
        <v>5700</v>
      </c>
      <c r="L62" s="33">
        <f>$B62/$N6</f>
        <v>5700</v>
      </c>
      <c r="M62" s="29">
        <f>(($B62/$N6)*$N5*60)/(12*5280)</f>
        <v>80.965909090909093</v>
      </c>
      <c r="N62" s="197">
        <f t="shared" si="56"/>
        <v>72.869318181818187</v>
      </c>
      <c r="O62" s="29">
        <f t="shared" si="57"/>
        <v>64.77272727272728</v>
      </c>
      <c r="P62" s="29">
        <f t="shared" si="58"/>
        <v>56.67613636363636</v>
      </c>
      <c r="Q62" s="29">
        <f t="shared" si="59"/>
        <v>48.579545454545453</v>
      </c>
      <c r="R62" s="29">
        <f t="shared" si="60"/>
        <v>48.579545454545453</v>
      </c>
    </row>
    <row r="63" spans="2:18">
      <c r="B63" s="28">
        <v>5800</v>
      </c>
      <c r="C63" s="33">
        <f>$B63/$E6</f>
        <v>6590.909090909091</v>
      </c>
      <c r="D63" s="29">
        <f>(($B63/$E6)*$E5*60)/(12*5280)</f>
        <v>93.620867768595033</v>
      </c>
      <c r="E63" s="197">
        <f t="shared" si="51"/>
        <v>84.258780991735534</v>
      </c>
      <c r="F63" s="29">
        <f t="shared" si="52"/>
        <v>74.896694214876021</v>
      </c>
      <c r="G63" s="29">
        <f t="shared" si="53"/>
        <v>65.534607438016522</v>
      </c>
      <c r="H63" s="29">
        <f t="shared" si="54"/>
        <v>56.172520661157023</v>
      </c>
      <c r="I63" s="29">
        <f t="shared" si="55"/>
        <v>56.172520661157023</v>
      </c>
      <c r="K63" s="28">
        <f t="shared" si="10"/>
        <v>5800</v>
      </c>
      <c r="L63" s="33">
        <f>$B63/$N6</f>
        <v>5800</v>
      </c>
      <c r="M63" s="29">
        <f>(($B63/$N6)*$N5*60)/(12*5280)</f>
        <v>82.38636363636364</v>
      </c>
      <c r="N63" s="197">
        <f t="shared" si="56"/>
        <v>74.14772727272728</v>
      </c>
      <c r="O63" s="29">
        <f t="shared" si="57"/>
        <v>65.909090909090907</v>
      </c>
      <c r="P63" s="29">
        <f t="shared" si="58"/>
        <v>57.670454545454547</v>
      </c>
      <c r="Q63" s="29">
        <f t="shared" si="59"/>
        <v>49.431818181818187</v>
      </c>
      <c r="R63" s="29">
        <f t="shared" si="60"/>
        <v>49.431818181818187</v>
      </c>
    </row>
    <row r="64" spans="2:18">
      <c r="B64" s="28">
        <v>5900</v>
      </c>
      <c r="C64" s="33">
        <f>$B64/$E6</f>
        <v>6704.545454545455</v>
      </c>
      <c r="D64" s="29">
        <f>(($B64/$E6)*$E5*60)/(12*5280)</f>
        <v>95.235020661157023</v>
      </c>
      <c r="E64" s="197">
        <f t="shared" si="51"/>
        <v>85.711518595041326</v>
      </c>
      <c r="F64" s="29">
        <f t="shared" si="52"/>
        <v>76.188016528925615</v>
      </c>
      <c r="G64" s="29">
        <f t="shared" si="53"/>
        <v>66.664514462809919</v>
      </c>
      <c r="H64" s="29">
        <f t="shared" si="54"/>
        <v>57.141012396694215</v>
      </c>
      <c r="I64" s="29">
        <f t="shared" si="55"/>
        <v>57.141012396694215</v>
      </c>
      <c r="K64" s="28">
        <f t="shared" si="10"/>
        <v>5900</v>
      </c>
      <c r="L64" s="33">
        <f>$B64/$N6</f>
        <v>5900</v>
      </c>
      <c r="M64" s="29">
        <f>(($B64/$N6)*$N5*60)/(12*5280)</f>
        <v>83.806818181818187</v>
      </c>
      <c r="N64" s="197">
        <f t="shared" si="56"/>
        <v>75.426136363636374</v>
      </c>
      <c r="O64" s="29">
        <f t="shared" si="57"/>
        <v>67.045454545454547</v>
      </c>
      <c r="P64" s="29">
        <f t="shared" si="58"/>
        <v>58.664772727272734</v>
      </c>
      <c r="Q64" s="29">
        <f t="shared" si="59"/>
        <v>50.284090909090914</v>
      </c>
      <c r="R64" s="29">
        <f t="shared" si="60"/>
        <v>50.284090909090914</v>
      </c>
    </row>
    <row r="65" spans="1:19">
      <c r="B65" s="30">
        <v>6000</v>
      </c>
      <c r="C65" s="33">
        <f>$B65/$E6</f>
        <v>6818.181818181818</v>
      </c>
      <c r="D65" s="29">
        <f>(($B65/$E6)*$E5*60)/(12*5280)</f>
        <v>96.849173553718998</v>
      </c>
      <c r="E65" s="197">
        <f t="shared" si="51"/>
        <v>87.164256198347104</v>
      </c>
      <c r="F65" s="31">
        <f t="shared" si="52"/>
        <v>77.479338842975196</v>
      </c>
      <c r="G65" s="31">
        <f t="shared" si="53"/>
        <v>67.794421487603302</v>
      </c>
      <c r="H65" s="31">
        <f t="shared" si="54"/>
        <v>58.1095041322314</v>
      </c>
      <c r="I65" s="31">
        <f t="shared" si="55"/>
        <v>58.1095041322314</v>
      </c>
      <c r="K65" s="30">
        <f t="shared" si="10"/>
        <v>6000</v>
      </c>
      <c r="L65" s="33">
        <f>$B65/$N6</f>
        <v>6000</v>
      </c>
      <c r="M65" s="29">
        <f>(($B65/$N6)*$N5*60)/(12*5280)</f>
        <v>85.227272727272734</v>
      </c>
      <c r="N65" s="197">
        <f t="shared" si="56"/>
        <v>76.704545454545467</v>
      </c>
      <c r="O65" s="31">
        <f t="shared" si="57"/>
        <v>68.181818181818187</v>
      </c>
      <c r="P65" s="31">
        <f t="shared" si="58"/>
        <v>59.659090909090914</v>
      </c>
      <c r="Q65" s="31">
        <f t="shared" si="59"/>
        <v>51.13636363636364</v>
      </c>
      <c r="R65" s="31">
        <f t="shared" si="60"/>
        <v>51.13636363636364</v>
      </c>
    </row>
    <row r="67" spans="1:19">
      <c r="B67" s="23" t="s">
        <v>33</v>
      </c>
    </row>
    <row r="68" spans="1:19">
      <c r="A68"/>
      <c r="B68"/>
      <c r="C68"/>
      <c r="D68"/>
      <c r="E68"/>
      <c r="F68"/>
      <c r="G68"/>
      <c r="H68" s="4"/>
      <c r="I68"/>
      <c r="J68"/>
      <c r="K68"/>
    </row>
    <row r="69" spans="1:19" customFormat="1" ht="14.5" customHeight="1">
      <c r="D69" s="300" t="str">
        <f>'Torque &amp; Shaft Horsepower'!$F$80</f>
        <v>Modified PropCalc spreadsheet prepared by Paul Kane, Kane Custom Boats Ltd., Chelsea Quebec</v>
      </c>
      <c r="E69" s="300"/>
      <c r="F69" s="300"/>
      <c r="G69" s="300"/>
      <c r="H69" s="300"/>
      <c r="I69" s="300"/>
      <c r="J69" s="300"/>
      <c r="K69" s="300"/>
      <c r="L69" s="300"/>
      <c r="M69" s="300"/>
      <c r="N69" s="299">
        <f ca="1">'Torque &amp; Shaft Horsepower'!$Q$80</f>
        <v>41382.515382754631</v>
      </c>
      <c r="O69" s="299"/>
      <c r="S69" s="1"/>
    </row>
    <row r="70" spans="1:19" customFormat="1" ht="12.5">
      <c r="A70" s="69"/>
      <c r="B70" s="70"/>
      <c r="C70" s="70"/>
      <c r="D70" s="70"/>
      <c r="E70" s="70"/>
      <c r="F70" s="70"/>
      <c r="G70" s="70"/>
      <c r="H70" s="70"/>
      <c r="I70" s="70"/>
      <c r="J70" s="70"/>
      <c r="O70" s="1"/>
    </row>
    <row r="71" spans="1:19" customFormat="1" ht="14.5" customHeight="1">
      <c r="F71" s="301" t="str">
        <f>'Torque &amp; Shaft Horsepower'!$F$82</f>
        <v xml:space="preserve">Building the Glen-L Hot Rod :  </v>
      </c>
      <c r="G71" s="301"/>
      <c r="H71" s="301"/>
      <c r="I71" s="302" t="str">
        <f>'Torque &amp; Shaft Horsepower'!$K$82</f>
        <v>http://www.KaneCustomBoats.com</v>
      </c>
      <c r="J71" s="302"/>
      <c r="K71" s="302"/>
      <c r="L71" s="302"/>
      <c r="M71" s="174"/>
      <c r="N71" s="143"/>
      <c r="O71" s="143"/>
      <c r="P71" s="143"/>
      <c r="Q71" s="143"/>
      <c r="S71" s="1"/>
    </row>
  </sheetData>
  <sheetProtection password="D10D" sheet="1" objects="1" scenarios="1" selectLockedCells="1"/>
  <mergeCells count="11">
    <mergeCell ref="N69:O69"/>
    <mergeCell ref="D69:M69"/>
    <mergeCell ref="F71:H71"/>
    <mergeCell ref="I71:L71"/>
    <mergeCell ref="N9:R9"/>
    <mergeCell ref="E9:I9"/>
    <mergeCell ref="B5:D5"/>
    <mergeCell ref="B6:D6"/>
    <mergeCell ref="K5:M5"/>
    <mergeCell ref="K6:M6"/>
    <mergeCell ref="B2:R2"/>
  </mergeCells>
  <pageMargins left="0.70866141732283472" right="0.70866141732283472" top="0.74803149606299213" bottom="0.74803149606299213" header="0.31496062992125984" footer="0.31496062992125984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O59"/>
  <sheetViews>
    <sheetView zoomScaleNormal="100" zoomScalePageLayoutView="70" workbookViewId="0">
      <selection activeCell="D13" sqref="D13"/>
    </sheetView>
  </sheetViews>
  <sheetFormatPr defaultColWidth="8.90625" defaultRowHeight="14.5"/>
  <cols>
    <col min="1" max="2" width="8.90625" style="40"/>
    <col min="3" max="3" width="8.90625" style="44"/>
    <col min="4" max="4" width="8.81640625" style="44" customWidth="1"/>
    <col min="5" max="5" width="9.1796875" style="44" customWidth="1"/>
    <col min="6" max="6" width="9" style="44" customWidth="1"/>
    <col min="7" max="7" width="10" style="44" customWidth="1"/>
    <col min="8" max="8" width="9.81640625" style="44" customWidth="1"/>
    <col min="9" max="9" width="8.6328125" style="44" customWidth="1"/>
    <col min="10" max="10" width="11" style="44" customWidth="1"/>
    <col min="11" max="11" width="8.54296875" style="40" customWidth="1"/>
    <col min="12" max="12" width="8.90625" style="40"/>
    <col min="13" max="13" width="6.08984375" style="40" customWidth="1"/>
    <col min="14" max="14" width="6.81640625" style="40" customWidth="1"/>
    <col min="15" max="15" width="5.54296875" style="40" customWidth="1"/>
    <col min="16" max="16384" width="8.90625" style="40"/>
  </cols>
  <sheetData>
    <row r="3" spans="2:15" ht="15.5">
      <c r="B3" s="196"/>
      <c r="C3" s="317" t="s">
        <v>15</v>
      </c>
      <c r="D3" s="317"/>
      <c r="E3" s="317"/>
      <c r="F3" s="317"/>
      <c r="G3" s="317"/>
      <c r="H3" s="317"/>
      <c r="I3" s="317"/>
      <c r="J3" s="317"/>
      <c r="K3" s="317"/>
      <c r="L3" s="178"/>
      <c r="M3" s="178"/>
    </row>
    <row r="5" spans="2:15">
      <c r="C5" s="318" t="s">
        <v>16</v>
      </c>
      <c r="D5" s="318"/>
      <c r="E5" s="318"/>
      <c r="F5" s="318"/>
      <c r="G5" s="318"/>
      <c r="H5" s="318"/>
      <c r="I5" s="318"/>
      <c r="J5" s="318"/>
      <c r="K5" s="318"/>
      <c r="L5" s="179"/>
      <c r="M5" s="179"/>
      <c r="N5" s="179"/>
    </row>
    <row r="6" spans="2:15">
      <c r="C6" s="319" t="s">
        <v>17</v>
      </c>
      <c r="D6" s="319"/>
      <c r="E6" s="319"/>
      <c r="F6" s="319"/>
      <c r="G6" s="319"/>
      <c r="H6" s="319"/>
      <c r="I6" s="319"/>
      <c r="J6" s="319"/>
      <c r="K6" s="319"/>
      <c r="L6" s="180"/>
      <c r="M6" s="180"/>
      <c r="N6" s="180"/>
    </row>
    <row r="7" spans="2:15">
      <c r="C7" s="41"/>
      <c r="D7" s="41"/>
      <c r="E7" s="41"/>
      <c r="F7" s="41"/>
      <c r="G7" s="41"/>
      <c r="H7" s="41"/>
      <c r="I7" s="41"/>
      <c r="J7" s="41"/>
      <c r="K7" s="41"/>
    </row>
    <row r="8" spans="2:15">
      <c r="C8" s="319" t="s">
        <v>32</v>
      </c>
      <c r="D8" s="319"/>
      <c r="E8" s="319"/>
      <c r="F8" s="319"/>
      <c r="G8" s="319"/>
      <c r="H8" s="319"/>
      <c r="I8" s="319"/>
      <c r="J8" s="319"/>
      <c r="K8" s="319"/>
      <c r="L8" s="180"/>
      <c r="M8" s="180"/>
      <c r="N8" s="180"/>
      <c r="O8" s="180"/>
    </row>
    <row r="10" spans="2:15">
      <c r="C10" s="42" t="s">
        <v>18</v>
      </c>
      <c r="D10" s="54">
        <f>'Torque &amp; Shaft Horsepower'!$K$8</f>
        <v>315</v>
      </c>
      <c r="E10" s="182" t="s">
        <v>20</v>
      </c>
      <c r="F10" s="181"/>
      <c r="G10" s="181"/>
      <c r="H10" s="181"/>
      <c r="I10" s="181"/>
      <c r="J10" s="181"/>
      <c r="K10" s="181"/>
    </row>
    <row r="11" spans="2:15">
      <c r="C11" s="42" t="s">
        <v>21</v>
      </c>
      <c r="D11" s="55">
        <f>'Torque &amp; Shaft Horsepower'!$K$32</f>
        <v>305.50416749999999</v>
      </c>
      <c r="E11" s="182" t="s">
        <v>31</v>
      </c>
      <c r="F11" s="181"/>
      <c r="G11" s="181"/>
      <c r="H11" s="181"/>
      <c r="I11" s="181"/>
      <c r="J11" s="181"/>
      <c r="K11" s="181"/>
    </row>
    <row r="12" spans="2:15">
      <c r="C12" s="42" t="s">
        <v>7</v>
      </c>
      <c r="D12" s="56">
        <f>'Torque &amp; Shaft Horsepower'!$K$9</f>
        <v>4500</v>
      </c>
      <c r="E12" s="182" t="s">
        <v>22</v>
      </c>
      <c r="F12" s="181"/>
      <c r="G12" s="181"/>
      <c r="H12" s="181"/>
      <c r="I12" s="181"/>
      <c r="J12" s="181"/>
      <c r="K12" s="181"/>
    </row>
    <row r="13" spans="2:15">
      <c r="C13" s="42" t="s">
        <v>23</v>
      </c>
      <c r="D13" s="57">
        <f>'Torque &amp; Shaft Horsepower'!$K$10</f>
        <v>1.21</v>
      </c>
      <c r="E13" s="182" t="s">
        <v>10</v>
      </c>
      <c r="F13" s="181"/>
      <c r="G13" s="181"/>
      <c r="H13" s="181"/>
      <c r="I13" s="181"/>
      <c r="J13" s="181"/>
      <c r="K13" s="181"/>
    </row>
    <row r="14" spans="2:15">
      <c r="C14" s="42" t="s">
        <v>24</v>
      </c>
      <c r="D14" s="55">
        <f>'Torque &amp; Shaft Horsepower'!$K$34</f>
        <v>5113.636363636364</v>
      </c>
      <c r="E14" s="182" t="s">
        <v>35</v>
      </c>
      <c r="F14" s="181"/>
      <c r="G14" s="181"/>
      <c r="H14" s="181"/>
      <c r="I14" s="181"/>
      <c r="J14" s="181"/>
      <c r="K14" s="181"/>
    </row>
    <row r="15" spans="2:15">
      <c r="C15" s="63"/>
      <c r="D15" s="65"/>
      <c r="E15" s="195"/>
      <c r="F15" s="181"/>
      <c r="G15" s="181"/>
      <c r="H15" s="181"/>
      <c r="I15" s="181"/>
      <c r="J15" s="181"/>
      <c r="K15" s="181"/>
    </row>
    <row r="16" spans="2:15">
      <c r="C16" s="63"/>
      <c r="D16" s="65"/>
      <c r="F16" s="64"/>
      <c r="G16" s="64"/>
      <c r="H16" s="64"/>
      <c r="I16" s="64"/>
      <c r="J16" s="64"/>
      <c r="K16" s="64"/>
      <c r="L16" s="64"/>
    </row>
    <row r="17" spans="2:14" ht="15.5">
      <c r="B17" s="196"/>
      <c r="C17" s="317" t="s">
        <v>123</v>
      </c>
      <c r="D17" s="317"/>
      <c r="E17" s="317"/>
      <c r="F17" s="317"/>
      <c r="G17" s="317"/>
      <c r="H17" s="317"/>
      <c r="I17" s="317"/>
      <c r="J17" s="317"/>
      <c r="K17" s="317"/>
      <c r="L17" s="181"/>
      <c r="M17" s="181"/>
      <c r="N17" s="181"/>
    </row>
    <row r="19" spans="2:14" ht="16.5">
      <c r="C19" s="60" t="s">
        <v>25</v>
      </c>
      <c r="D19" s="60" t="s">
        <v>19</v>
      </c>
      <c r="E19" s="60">
        <v>632.70000000000005</v>
      </c>
      <c r="F19" s="60" t="s">
        <v>26</v>
      </c>
      <c r="G19" s="60" t="s">
        <v>21</v>
      </c>
      <c r="H19" s="61">
        <v>0.2</v>
      </c>
      <c r="I19" s="60" t="s">
        <v>27</v>
      </c>
      <c r="J19" s="60" t="s">
        <v>24</v>
      </c>
      <c r="K19" s="62">
        <v>0.6</v>
      </c>
    </row>
    <row r="20" spans="2:14" ht="16.5">
      <c r="D20" s="44" t="s">
        <v>19</v>
      </c>
      <c r="E20" s="44">
        <f>E19</f>
        <v>632.70000000000005</v>
      </c>
      <c r="F20" s="44" t="s">
        <v>26</v>
      </c>
      <c r="G20" s="44">
        <f>D11</f>
        <v>305.50416749999999</v>
      </c>
      <c r="H20" s="45">
        <f>H19</f>
        <v>0.2</v>
      </c>
      <c r="I20" s="44" t="s">
        <v>27</v>
      </c>
      <c r="J20" s="44">
        <f>D14</f>
        <v>5113.636363636364</v>
      </c>
      <c r="K20" s="45">
        <f>K19</f>
        <v>0.6</v>
      </c>
    </row>
    <row r="21" spans="2:14">
      <c r="D21" s="44" t="s">
        <v>19</v>
      </c>
      <c r="E21" s="44">
        <f>E20</f>
        <v>632.70000000000005</v>
      </c>
      <c r="F21" s="44" t="s">
        <v>26</v>
      </c>
      <c r="G21" s="312">
        <f>POWER(G20,H20)</f>
        <v>3.1405334813808041</v>
      </c>
      <c r="H21" s="312"/>
      <c r="I21" s="44" t="s">
        <v>27</v>
      </c>
      <c r="J21" s="312">
        <f>POWER(J20,K20)</f>
        <v>167.97239129371869</v>
      </c>
      <c r="K21" s="312"/>
    </row>
    <row r="22" spans="2:14">
      <c r="D22" s="44" t="s">
        <v>19</v>
      </c>
      <c r="E22" s="312">
        <f>E21*G21</f>
        <v>1987.0155336696348</v>
      </c>
      <c r="F22" s="312"/>
      <c r="G22" s="312"/>
      <c r="H22" s="312"/>
      <c r="I22" s="44" t="s">
        <v>27</v>
      </c>
      <c r="J22" s="312">
        <f>J21</f>
        <v>167.97239129371869</v>
      </c>
      <c r="K22" s="312"/>
    </row>
    <row r="23" spans="2:14">
      <c r="D23" s="44" t="s">
        <v>19</v>
      </c>
      <c r="E23" s="312">
        <f>E22/J22</f>
        <v>11.829417432029731</v>
      </c>
      <c r="F23" s="312"/>
      <c r="G23" s="312"/>
      <c r="H23" s="312"/>
      <c r="I23" s="312"/>
      <c r="J23" s="312"/>
      <c r="K23" s="312"/>
    </row>
    <row r="24" spans="2:14">
      <c r="D24" s="44" t="s">
        <v>19</v>
      </c>
      <c r="E24" s="312">
        <f>ROUND(E23,0)</f>
        <v>12</v>
      </c>
      <c r="F24" s="312"/>
      <c r="G24" s="312"/>
      <c r="H24" s="312"/>
      <c r="I24" s="312"/>
      <c r="J24" s="312"/>
      <c r="K24" s="312"/>
    </row>
    <row r="25" spans="2:14">
      <c r="K25" s="44"/>
    </row>
    <row r="26" spans="2:14" ht="15.5">
      <c r="B26" s="317" t="s">
        <v>117</v>
      </c>
      <c r="C26" s="317"/>
      <c r="D26" s="317"/>
      <c r="E26" s="317"/>
      <c r="F26" s="317"/>
      <c r="G26" s="317"/>
      <c r="H26" s="317"/>
      <c r="I26" s="317"/>
      <c r="J26" s="317"/>
      <c r="K26" s="317"/>
      <c r="L26" s="181"/>
      <c r="M26" s="181"/>
      <c r="N26" s="181"/>
    </row>
    <row r="28" spans="2:14" ht="29">
      <c r="C28" s="40"/>
      <c r="D28" s="40"/>
      <c r="E28" s="49" t="s">
        <v>7</v>
      </c>
      <c r="F28" s="66" t="s">
        <v>24</v>
      </c>
      <c r="G28" s="66" t="s">
        <v>28</v>
      </c>
      <c r="H28" s="183" t="s">
        <v>29</v>
      </c>
      <c r="I28" s="40"/>
      <c r="J28" s="40"/>
    </row>
    <row r="29" spans="2:14">
      <c r="C29" s="40"/>
      <c r="D29" s="40"/>
      <c r="E29" s="43">
        <v>6000</v>
      </c>
      <c r="F29" s="47">
        <f>E29/D13</f>
        <v>4958.6776859504134</v>
      </c>
      <c r="G29" s="59">
        <f>632.7  * POWER(D11,0.2) / POWER(F29,0.6)</f>
        <v>12.049852594133782</v>
      </c>
      <c r="H29" s="171">
        <f t="shared" ref="H29:H39" si="0">ROUND(G29,0)</f>
        <v>12</v>
      </c>
      <c r="K29" s="44"/>
    </row>
    <row r="30" spans="2:14">
      <c r="C30" s="40"/>
      <c r="D30" s="40"/>
      <c r="E30" s="43">
        <v>5500</v>
      </c>
      <c r="F30" s="47">
        <f>E30/D13</f>
        <v>4545.454545454546</v>
      </c>
      <c r="G30" s="59">
        <f>632.7  * POWER(D11,0.2) / POWER(F30,0.6)</f>
        <v>12.695647944541555</v>
      </c>
      <c r="H30" s="171">
        <f t="shared" si="0"/>
        <v>13</v>
      </c>
      <c r="K30" s="44"/>
    </row>
    <row r="31" spans="2:14">
      <c r="C31" s="40"/>
      <c r="D31" s="40"/>
      <c r="E31" s="43">
        <v>5400</v>
      </c>
      <c r="F31" s="47">
        <f>E31/D13</f>
        <v>4462.8099173553719</v>
      </c>
      <c r="G31" s="59">
        <f>632.7  * POWER(D11,0.2) / POWER(F31,0.6)</f>
        <v>12.836192710329312</v>
      </c>
      <c r="H31" s="171">
        <f t="shared" si="0"/>
        <v>13</v>
      </c>
      <c r="K31" s="44"/>
    </row>
    <row r="32" spans="2:14">
      <c r="C32" s="40"/>
      <c r="D32" s="40"/>
      <c r="E32" s="43">
        <v>5300</v>
      </c>
      <c r="F32" s="47">
        <f>E32/D13</f>
        <v>4380.1652892561988</v>
      </c>
      <c r="G32" s="59">
        <f>632.7  * POWER(D11,0.2) / POWER(F32,0.6)</f>
        <v>12.980964513901831</v>
      </c>
      <c r="H32" s="171">
        <f t="shared" si="0"/>
        <v>13</v>
      </c>
      <c r="K32" s="44"/>
    </row>
    <row r="33" spans="2:14">
      <c r="C33" s="40"/>
      <c r="D33" s="40"/>
      <c r="E33" s="51">
        <v>5200</v>
      </c>
      <c r="F33" s="79">
        <f>E33/D13</f>
        <v>4297.5206611570247</v>
      </c>
      <c r="G33" s="80">
        <f>(632.7  * POWER(D11,0.2)) / POWER(F33,0.6)</f>
        <v>13.130173906420461</v>
      </c>
      <c r="H33" s="172">
        <f t="shared" si="0"/>
        <v>13</v>
      </c>
      <c r="K33" s="44"/>
    </row>
    <row r="34" spans="2:14">
      <c r="C34" s="40"/>
      <c r="D34" s="40"/>
      <c r="E34" s="43">
        <v>5100</v>
      </c>
      <c r="F34" s="47">
        <f>E34/D13</f>
        <v>4214.8760330578516</v>
      </c>
      <c r="G34" s="59">
        <f>632.7  * POWER(D11,0.2) / POWER(F34,0.6)</f>
        <v>13.284046244262104</v>
      </c>
      <c r="H34" s="171">
        <f t="shared" si="0"/>
        <v>13</v>
      </c>
      <c r="K34" s="44"/>
    </row>
    <row r="35" spans="2:14">
      <c r="C35" s="40"/>
      <c r="D35" s="40"/>
      <c r="E35" s="43">
        <v>5000</v>
      </c>
      <c r="F35" s="47">
        <f>E35/D13</f>
        <v>4132.2314049586776</v>
      </c>
      <c r="G35" s="59">
        <f>632.7  * POWER(D11,0.2) / POWER(F35,0.6)</f>
        <v>13.442823045768428</v>
      </c>
      <c r="H35" s="171">
        <f t="shared" si="0"/>
        <v>13</v>
      </c>
      <c r="K35" s="44"/>
    </row>
    <row r="36" spans="2:14">
      <c r="C36" s="40"/>
      <c r="D36" s="40"/>
      <c r="E36" s="43">
        <v>4400</v>
      </c>
      <c r="F36" s="47">
        <f>E36/D13</f>
        <v>3636.3636363636365</v>
      </c>
      <c r="G36" s="59">
        <f>632.7  * POWER(D11,0.2) / POWER(F36,0.6)</f>
        <v>14.514459856324065</v>
      </c>
      <c r="H36" s="171">
        <f t="shared" si="0"/>
        <v>15</v>
      </c>
      <c r="I36" s="40"/>
      <c r="J36" s="40"/>
    </row>
    <row r="37" spans="2:14">
      <c r="C37" s="40"/>
      <c r="D37" s="40"/>
      <c r="E37" s="43">
        <v>4000</v>
      </c>
      <c r="F37" s="47">
        <f>E37/D13</f>
        <v>3305.7851239669421</v>
      </c>
      <c r="G37" s="59">
        <f>632.7  * POWER(D11,0.2) / POWER(F37,0.6)</f>
        <v>15.368677227487467</v>
      </c>
      <c r="H37" s="171">
        <f t="shared" si="0"/>
        <v>15</v>
      </c>
      <c r="I37" s="40"/>
      <c r="J37" s="40"/>
    </row>
    <row r="38" spans="2:14">
      <c r="C38" s="40"/>
      <c r="D38" s="40"/>
      <c r="E38" s="43">
        <v>3000</v>
      </c>
      <c r="F38" s="47">
        <f>E38/D13</f>
        <v>2479.3388429752067</v>
      </c>
      <c r="G38" s="59">
        <f>632.7  * POWER(D11,0.2) / POWER(F38,0.6)</f>
        <v>18.264161200936851</v>
      </c>
      <c r="H38" s="171">
        <f t="shared" si="0"/>
        <v>18</v>
      </c>
      <c r="I38" s="40"/>
      <c r="J38" s="40"/>
    </row>
    <row r="39" spans="2:14">
      <c r="C39" s="40"/>
      <c r="D39" s="40"/>
      <c r="E39" s="43">
        <v>2000</v>
      </c>
      <c r="F39" s="47">
        <f>E39/D13</f>
        <v>1652.8925619834711</v>
      </c>
      <c r="G39" s="59">
        <f>632.7  * POWER(D11,0.2) / POWER(F39,0.6)</f>
        <v>23.29455867905385</v>
      </c>
      <c r="H39" s="171">
        <f t="shared" si="0"/>
        <v>23</v>
      </c>
      <c r="I39" s="40"/>
      <c r="J39" s="40"/>
    </row>
    <row r="42" spans="2:14" ht="15.5">
      <c r="B42" s="317" t="s">
        <v>30</v>
      </c>
      <c r="C42" s="317"/>
      <c r="D42" s="317"/>
      <c r="E42" s="317"/>
      <c r="F42" s="317"/>
      <c r="G42" s="317"/>
      <c r="H42" s="317"/>
      <c r="I42" s="317"/>
      <c r="J42" s="317"/>
      <c r="K42" s="317"/>
      <c r="L42" s="181"/>
      <c r="M42" s="181"/>
      <c r="N42" s="181"/>
    </row>
    <row r="44" spans="2:14">
      <c r="B44" s="313" t="s">
        <v>0</v>
      </c>
      <c r="C44" s="314"/>
      <c r="D44" s="71">
        <v>100</v>
      </c>
      <c r="E44" s="71">
        <v>150</v>
      </c>
      <c r="F44" s="315">
        <v>200</v>
      </c>
      <c r="G44" s="315"/>
      <c r="H44" s="71">
        <v>250</v>
      </c>
      <c r="I44" s="71">
        <v>300</v>
      </c>
      <c r="J44" s="71">
        <v>350</v>
      </c>
      <c r="K44" s="58">
        <v>400</v>
      </c>
      <c r="L44" s="44"/>
      <c r="M44" s="44"/>
      <c r="N44" s="44"/>
    </row>
    <row r="45" spans="2:14">
      <c r="B45" s="313" t="s">
        <v>21</v>
      </c>
      <c r="C45" s="314"/>
      <c r="D45" s="72">
        <f>D44*0.96</f>
        <v>96</v>
      </c>
      <c r="E45" s="72">
        <f>E44*0.96</f>
        <v>144</v>
      </c>
      <c r="F45" s="315">
        <f>F44*0.96</f>
        <v>192</v>
      </c>
      <c r="G45" s="315"/>
      <c r="H45" s="71">
        <f>H44*0.96</f>
        <v>240</v>
      </c>
      <c r="I45" s="71">
        <f t="shared" ref="I45" si="1">I44*0.96</f>
        <v>288</v>
      </c>
      <c r="J45" s="71">
        <f t="shared" ref="J45" si="2">J44*0.96</f>
        <v>336</v>
      </c>
      <c r="K45" s="58">
        <f>K44*0.96</f>
        <v>384</v>
      </c>
      <c r="L45" s="48"/>
      <c r="M45" s="44"/>
      <c r="N45" s="44"/>
    </row>
    <row r="46" spans="2:14">
      <c r="B46" s="49" t="s">
        <v>7</v>
      </c>
      <c r="C46" s="50" t="s">
        <v>24</v>
      </c>
      <c r="D46" s="73"/>
      <c r="E46" s="73"/>
      <c r="F46" s="308"/>
      <c r="G46" s="308"/>
      <c r="H46" s="73"/>
      <c r="I46" s="73"/>
      <c r="J46" s="73"/>
      <c r="K46" s="51"/>
      <c r="L46" s="48"/>
      <c r="M46" s="44"/>
      <c r="N46" s="44"/>
    </row>
    <row r="47" spans="2:14">
      <c r="B47" s="52">
        <v>6000</v>
      </c>
      <c r="C47" s="53">
        <f>B47/D13</f>
        <v>4958.6776859504134</v>
      </c>
      <c r="D47" s="46">
        <f>ROUND(632.7  * POWER(D45,0.2) / POWER(C47,0.6),0)</f>
        <v>10</v>
      </c>
      <c r="E47" s="46">
        <f>ROUND(632.7  * POWER(E45,0.2) / POWER(C47,0.6),0)</f>
        <v>10</v>
      </c>
      <c r="F47" s="309">
        <f>ROUND(632.7  * POWER(F45,0.2) / POWER(C47,0.6),0)</f>
        <v>11</v>
      </c>
      <c r="G47" s="309"/>
      <c r="H47" s="46">
        <f>ROUND(632.7  * POWER(H45,0.2) / POWER(C47,0.6),0)</f>
        <v>11</v>
      </c>
      <c r="I47" s="46">
        <f>ROUND(632.7  * POWER(I45,0.2) / POWER(C47,0.6),0)</f>
        <v>12</v>
      </c>
      <c r="J47" s="46">
        <f>ROUND(632.7  * POWER(J45,0.2) / POWER(C47,0.6),0)</f>
        <v>12</v>
      </c>
      <c r="K47" s="43">
        <f>ROUND(632.7  * POWER(K45,0.2) / POWER(C47,0.6),0)</f>
        <v>13</v>
      </c>
      <c r="L47" s="44"/>
      <c r="M47" s="44"/>
      <c r="N47" s="44"/>
    </row>
    <row r="48" spans="2:14">
      <c r="B48" s="52">
        <v>5200</v>
      </c>
      <c r="C48" s="53">
        <f>B48/D13</f>
        <v>4297.5206611570247</v>
      </c>
      <c r="D48" s="73">
        <f>ROUND(632.7  * POWER(D45,0.2) / POWER(C48,0.6),0)</f>
        <v>10</v>
      </c>
      <c r="E48" s="73">
        <f>ROUND(632.7  * POWER(E45,0.2) / POWER(C48,0.6),0)</f>
        <v>11</v>
      </c>
      <c r="F48" s="308">
        <f>ROUND(632.7  * POWER(F45,0.2) / POWER(C48,0.6),0)</f>
        <v>12</v>
      </c>
      <c r="G48" s="308"/>
      <c r="H48" s="73">
        <f>ROUND(632.7  * POWER(H45,0.2) / POWER(C48,0.6),0)</f>
        <v>13</v>
      </c>
      <c r="I48" s="73">
        <f>ROUND(632.7  * POWER(I45,0.2) / POWER(C48,0.6),0)</f>
        <v>13</v>
      </c>
      <c r="J48" s="73">
        <f>ROUND(632.7  * POWER(J45,0.2) / POWER(C48,0.6),0)</f>
        <v>13</v>
      </c>
      <c r="K48" s="51">
        <f>ROUND(632.7  * POWER(K45,0.2) / POWER(C48,0.6),0)</f>
        <v>14</v>
      </c>
      <c r="L48" s="44"/>
      <c r="M48" s="44"/>
      <c r="N48" s="44"/>
    </row>
    <row r="49" spans="1:15">
      <c r="B49" s="52">
        <v>5000</v>
      </c>
      <c r="C49" s="53">
        <f>B49/D13</f>
        <v>4132.2314049586776</v>
      </c>
      <c r="D49" s="46">
        <f>ROUND(632.7  * POWER(D45,0.2) / POWER(C49,0.6),0)</f>
        <v>11</v>
      </c>
      <c r="E49" s="46">
        <f>ROUND(632.7  * POWER(E45,0.2) / POWER(C49,0.6),0)</f>
        <v>12</v>
      </c>
      <c r="F49" s="309">
        <f>ROUND(632.7  * POWER(F45,0.2) / POWER(C49,0.6),0)</f>
        <v>12</v>
      </c>
      <c r="G49" s="309"/>
      <c r="H49" s="46">
        <f>ROUND(632.7  * POWER(H45,0.2) / POWER(C49,0.6),0)</f>
        <v>13</v>
      </c>
      <c r="I49" s="46">
        <f>ROUND(632.7  * POWER(I45,0.2) / POWER(C49,0.6),0)</f>
        <v>13</v>
      </c>
      <c r="J49" s="46">
        <f>ROUND(632.7  * POWER(J45,0.2) / POWER(C49,0.6),0)</f>
        <v>14</v>
      </c>
      <c r="K49" s="43">
        <f>ROUND(632.7  * POWER(K45,0.2) / POWER(C49,0.6),0)</f>
        <v>14</v>
      </c>
      <c r="L49" s="44"/>
      <c r="M49" s="44"/>
      <c r="N49" s="44"/>
    </row>
    <row r="50" spans="1:15">
      <c r="B50" s="52">
        <v>4400</v>
      </c>
      <c r="C50" s="53">
        <f>B50/D13</f>
        <v>3636.3636363636365</v>
      </c>
      <c r="D50" s="46">
        <f>ROUND(632.7  * POWER(D45,0.2) / POWER(C50,0.6),0)</f>
        <v>12</v>
      </c>
      <c r="E50" s="46">
        <f>ROUND(632.7  * POWER(E45,0.2) / POWER(C50,0.6),0)</f>
        <v>12</v>
      </c>
      <c r="F50" s="309">
        <f>ROUND(632.7  * POWER(F45,0.2) / POWER(C50,0.6),0)</f>
        <v>13</v>
      </c>
      <c r="G50" s="309"/>
      <c r="H50" s="46">
        <f>ROUND(632.7  * POWER(H45,0.2) / POWER(C50,0.6),0)</f>
        <v>14</v>
      </c>
      <c r="I50" s="46">
        <f>ROUND(632.7  * POWER(I45,0.2) / POWER(C50,0.6),0)</f>
        <v>14</v>
      </c>
      <c r="J50" s="46">
        <f>ROUND(632.7  * POWER(J45,0.2) / POWER(C50,0.6),0)</f>
        <v>15</v>
      </c>
      <c r="K50" s="43">
        <f>ROUND(632.7  * POWER(K45,0.2) / POWER(C50,0.6),0)</f>
        <v>15</v>
      </c>
    </row>
    <row r="51" spans="1:15">
      <c r="B51" s="52">
        <v>4000</v>
      </c>
      <c r="C51" s="53">
        <f>B51/D13</f>
        <v>3305.7851239669421</v>
      </c>
      <c r="D51" s="46">
        <f>ROUND(632.7  * POWER(D45,0.2) / POWER(C51,0.6),0)</f>
        <v>12</v>
      </c>
      <c r="E51" s="46">
        <f>ROUND(632.7  * POWER(E45,0.2) / POWER(C51,0.6),0)</f>
        <v>13</v>
      </c>
      <c r="F51" s="309">
        <f>ROUND(632.7  * POWER(F45,0.2) / POWER(C51,0.6),0)</f>
        <v>14</v>
      </c>
      <c r="G51" s="309"/>
      <c r="H51" s="46">
        <f>ROUND(632.7  * POWER(H45,0.2) / POWER(C51,0.6),0)</f>
        <v>15</v>
      </c>
      <c r="I51" s="46">
        <f>ROUND(632.7  * POWER(I45,0.2) / POWER(C51,0.6),0)</f>
        <v>15</v>
      </c>
      <c r="J51" s="46">
        <f>ROUND(632.7  * POWER(J45,0.2) / POWER(C51,0.6),0)</f>
        <v>16</v>
      </c>
      <c r="K51" s="43">
        <f>ROUND(632.7  * POWER(K45,0.2) / POWER(C51,0.6),0)</f>
        <v>16</v>
      </c>
    </row>
    <row r="52" spans="1:15">
      <c r="B52" s="52">
        <v>3000</v>
      </c>
      <c r="C52" s="53">
        <f>B52/D13</f>
        <v>2479.3388429752067</v>
      </c>
      <c r="D52" s="46">
        <f>ROUND(632.7  * POWER(D45,0.2) / POWER(C52,0.6),0)</f>
        <v>14</v>
      </c>
      <c r="E52" s="46">
        <f>ROUND(632.7  * POWER(E45,0.2) / POWER(C52,0.6),0)</f>
        <v>16</v>
      </c>
      <c r="F52" s="309">
        <f>ROUND(632.7  * POWER(F45,0.2) / POWER(C52,0.6),0)</f>
        <v>17</v>
      </c>
      <c r="G52" s="309"/>
      <c r="H52" s="46">
        <f>ROUND(632.7  * POWER(H45,0.2) / POWER(C52,0.6),0)</f>
        <v>17</v>
      </c>
      <c r="I52" s="46">
        <f>ROUND(632.7  * POWER(I45,0.2) / POWER(C52,0.6),0)</f>
        <v>18</v>
      </c>
      <c r="J52" s="46">
        <f>ROUND(632.7  * POWER(J45,0.2) / POWER(C52,0.6),0)</f>
        <v>19</v>
      </c>
      <c r="K52" s="172">
        <f>ROUND(632.7  * POWER(K45,0.2) / POWER(C52,0.6),0)</f>
        <v>19</v>
      </c>
    </row>
    <row r="53" spans="1:15">
      <c r="B53" s="52">
        <v>2000</v>
      </c>
      <c r="C53" s="53">
        <f>B53/D13</f>
        <v>1652.8925619834711</v>
      </c>
      <c r="D53" s="46">
        <f>ROUND(632.7  * POWER(D45,0.2) / POWER(C53,0.6),0)</f>
        <v>18</v>
      </c>
      <c r="E53" s="46">
        <f>ROUND(632.7  * POWER(E45,0.2) / POWER(C53,0.6),0)</f>
        <v>20</v>
      </c>
      <c r="F53" s="309">
        <f>ROUND(632.7  * POWER(F45,0.2) / POWER(C53,0.6),0)</f>
        <v>21</v>
      </c>
      <c r="G53" s="309"/>
      <c r="H53" s="46">
        <f>ROUND(632.7  * POWER(H45,0.2) / POWER(C53,0.6),0)</f>
        <v>22</v>
      </c>
      <c r="I53" s="46">
        <f>ROUND(632.7  * POWER(I45,0.2) / POWER(C53,0.6),0)</f>
        <v>23</v>
      </c>
      <c r="J53" s="46">
        <f>ROUND(632.7  * POWER(J45,0.2) / POWER(C53,0.6),0)</f>
        <v>24</v>
      </c>
      <c r="K53" s="43">
        <f>ROUND(632.7  * POWER(K45,0.2) / POWER(C53,0.6),0)</f>
        <v>24</v>
      </c>
    </row>
    <row r="56" spans="1:15">
      <c r="A56" s="69"/>
      <c r="B56" s="307" t="str">
        <f>'Torque &amp; Shaft Horsepower'!$F$80</f>
        <v>Modified PropCalc spreadsheet prepared by Paul Kane, Kane Custom Boats Ltd., Chelsea Quebec</v>
      </c>
      <c r="C56" s="307"/>
      <c r="D56" s="307"/>
      <c r="E56" s="307"/>
      <c r="F56" s="307"/>
      <c r="G56" s="307"/>
      <c r="H56" s="307"/>
      <c r="I56" s="307"/>
      <c r="J56" s="307"/>
      <c r="K56" s="306">
        <f ca="1">'Torque &amp; Shaft Horsepower'!$Q$80</f>
        <v>41382.515382754631</v>
      </c>
      <c r="L56" s="306"/>
    </row>
    <row r="57" spans="1:15" customFormat="1" ht="13">
      <c r="A57" s="69"/>
      <c r="B57" s="316"/>
      <c r="C57" s="316"/>
      <c r="D57" s="316"/>
      <c r="E57" s="316"/>
      <c r="F57" s="316"/>
      <c r="G57" s="316"/>
      <c r="H57" s="316"/>
      <c r="I57" s="316"/>
      <c r="J57" s="242"/>
      <c r="K57" s="242"/>
      <c r="O57" s="1"/>
    </row>
    <row r="58" spans="1:15">
      <c r="C58" s="310" t="str">
        <f>'Torque &amp; Shaft Horsepower'!$F$82</f>
        <v xml:space="preserve">Building the Glen-L Hot Rod :  </v>
      </c>
      <c r="D58" s="310"/>
      <c r="E58" s="310"/>
      <c r="F58" s="310"/>
      <c r="G58" s="311" t="str">
        <f>'Torque &amp; Shaft Horsepower'!$K$82</f>
        <v>http://www.KaneCustomBoats.com</v>
      </c>
      <c r="H58" s="311"/>
      <c r="I58" s="311"/>
      <c r="J58" s="311"/>
      <c r="K58" s="148"/>
      <c r="L58" s="148"/>
      <c r="M58" s="148"/>
      <c r="N58" s="148"/>
      <c r="O58" s="148"/>
    </row>
    <row r="59" spans="1:15">
      <c r="A59"/>
      <c r="B59"/>
      <c r="C59"/>
      <c r="D59"/>
      <c r="E59"/>
      <c r="F59"/>
      <c r="G59"/>
      <c r="H59" s="4"/>
      <c r="I59"/>
      <c r="J59"/>
    </row>
  </sheetData>
  <sheetProtection password="D10D" sheet="1" objects="1" scenarios="1" selectLockedCells="1"/>
  <mergeCells count="31">
    <mergeCell ref="B42:K42"/>
    <mergeCell ref="B26:K26"/>
    <mergeCell ref="C3:K3"/>
    <mergeCell ref="C17:K17"/>
    <mergeCell ref="C5:K5"/>
    <mergeCell ref="C6:K6"/>
    <mergeCell ref="C8:K8"/>
    <mergeCell ref="C58:F58"/>
    <mergeCell ref="G58:J58"/>
    <mergeCell ref="G21:H21"/>
    <mergeCell ref="J21:K21"/>
    <mergeCell ref="E22:H22"/>
    <mergeCell ref="J22:K22"/>
    <mergeCell ref="E23:K23"/>
    <mergeCell ref="E24:K24"/>
    <mergeCell ref="F47:G47"/>
    <mergeCell ref="F46:G46"/>
    <mergeCell ref="B45:C45"/>
    <mergeCell ref="F45:G45"/>
    <mergeCell ref="B44:C44"/>
    <mergeCell ref="F44:G44"/>
    <mergeCell ref="B57:I57"/>
    <mergeCell ref="J57:K57"/>
    <mergeCell ref="K56:L56"/>
    <mergeCell ref="B56:J56"/>
    <mergeCell ref="F48:G48"/>
    <mergeCell ref="F53:G53"/>
    <mergeCell ref="F52:G52"/>
    <mergeCell ref="F51:G51"/>
    <mergeCell ref="F50:G50"/>
    <mergeCell ref="F49:G49"/>
  </mergeCells>
  <hyperlinks>
    <hyperlink ref="G58" r:id="rId1" display="http://www.chelseacoachworks.com"/>
    <hyperlink ref="G58:O58" r:id="rId2" display="http://www.boats.chelseacoachworks.com"/>
  </hyperlinks>
  <pageMargins left="0.7" right="0.7" top="0.75" bottom="0.75" header="0.3" footer="0.3"/>
  <pageSetup scale="76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Torque &amp; Shaft Horsepower</vt:lpstr>
      <vt:lpstr>Speed Table</vt:lpstr>
      <vt:lpstr>Diameter-HP-RPM</vt:lpstr>
      <vt:lpstr>'Diameter-HP-RPM'!Print_Area</vt:lpstr>
      <vt:lpstr>'Speed Table'!Print_Area</vt:lpstr>
      <vt:lpstr>'Torque &amp; Shaft Horsepower'!Print_Area</vt:lpstr>
    </vt:vector>
  </TitlesOfParts>
  <Company>Surfbaud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Kane Custom Boats Ltd.</dc:title>
  <dc:subject>Marine Engineering</dc:subject>
  <dc:creator>Paul Kane</dc:creator>
  <cp:lastModifiedBy>Paul Kane</cp:lastModifiedBy>
  <cp:lastPrinted>2013-04-15T15:50:13Z</cp:lastPrinted>
  <dcterms:created xsi:type="dcterms:W3CDTF">1998-09-02T13:50:21Z</dcterms:created>
  <dcterms:modified xsi:type="dcterms:W3CDTF">2013-04-18T16:22:09Z</dcterms:modified>
</cp:coreProperties>
</file>